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0" windowWidth="20640" windowHeight="11760" firstSheet="1" activeTab="6"/>
  </bookViews>
  <sheets>
    <sheet name="Титульний лист" sheetId="1" r:id="rId1"/>
    <sheet name="І Фін результат" sheetId="2" r:id="rId2"/>
    <sheet name="ІІ Розр з бюджетом" sheetId="3" r:id="rId3"/>
    <sheet name="ІІІ Рух грошових коштів" sheetId="4" r:id="rId4"/>
    <sheet name="ІV Кап інвестиції" sheetId="5" r:id="rId5"/>
    <sheet name="V ОП" sheetId="6" r:id="rId6"/>
    <sheet name="VI Статутний капітал" sheetId="7" r:id="rId7"/>
  </sheets>
  <externalReferences>
    <externalReference r:id="rId8"/>
    <externalReference r:id="rId9"/>
  </externalReferences>
  <calcPr calcId="114210"/>
</workbook>
</file>

<file path=xl/calcChain.xml><?xml version="1.0" encoding="utf-8"?>
<calcChain xmlns="http://schemas.openxmlformats.org/spreadsheetml/2006/main">
  <c r="I108" i="2"/>
  <c r="H108"/>
  <c r="H109"/>
  <c r="G108"/>
  <c r="F108"/>
  <c r="C109"/>
  <c r="F100"/>
  <c r="G100"/>
  <c r="H100"/>
  <c r="I100"/>
  <c r="L100"/>
  <c r="N100"/>
  <c r="F109"/>
  <c r="G109"/>
  <c r="I109"/>
  <c r="K109"/>
  <c r="L109"/>
  <c r="N109"/>
  <c r="E108"/>
  <c r="N108"/>
  <c r="H70"/>
  <c r="E70"/>
  <c r="N70"/>
  <c r="H12" i="4"/>
  <c r="H25"/>
  <c r="E25"/>
  <c r="E12"/>
  <c r="N77" i="2"/>
  <c r="N67"/>
  <c r="N68"/>
  <c r="N69"/>
  <c r="N71"/>
  <c r="N72"/>
  <c r="N73"/>
  <c r="N74"/>
  <c r="N76"/>
  <c r="H59" i="4"/>
  <c r="G12"/>
  <c r="H7" i="5"/>
  <c r="G12" i="7"/>
  <c r="G11"/>
  <c r="G8"/>
  <c r="F64" i="4"/>
  <c r="H58"/>
  <c r="G58"/>
  <c r="F58"/>
  <c r="H57"/>
  <c r="G57"/>
  <c r="F57"/>
  <c r="I55"/>
  <c r="I54"/>
  <c r="H55"/>
  <c r="E55"/>
  <c r="E54"/>
  <c r="F46"/>
  <c r="F45"/>
  <c r="F43"/>
  <c r="I43"/>
  <c r="H43"/>
  <c r="G43"/>
  <c r="E43"/>
  <c r="I42"/>
  <c r="H42"/>
  <c r="G42"/>
  <c r="F42"/>
  <c r="I41"/>
  <c r="H41"/>
  <c r="G41"/>
  <c r="F41"/>
  <c r="E41"/>
  <c r="I40"/>
  <c r="H40"/>
  <c r="G40"/>
  <c r="F40"/>
  <c r="E40"/>
  <c r="I39"/>
  <c r="H39"/>
  <c r="G39"/>
  <c r="F39"/>
  <c r="E39"/>
  <c r="I38"/>
  <c r="I37"/>
  <c r="H38"/>
  <c r="G38"/>
  <c r="F38"/>
  <c r="E38"/>
  <c r="E37"/>
  <c r="I36"/>
  <c r="H36"/>
  <c r="G36"/>
  <c r="F36"/>
  <c r="F34"/>
  <c r="E36"/>
  <c r="I35"/>
  <c r="I34"/>
  <c r="H35"/>
  <c r="G35"/>
  <c r="F35"/>
  <c r="E35"/>
  <c r="E34"/>
  <c r="I33"/>
  <c r="H33"/>
  <c r="G33"/>
  <c r="F33"/>
  <c r="E33"/>
  <c r="I32"/>
  <c r="H32"/>
  <c r="G32"/>
  <c r="F32"/>
  <c r="E32"/>
  <c r="F31"/>
  <c r="E28"/>
  <c r="F28"/>
  <c r="E27"/>
  <c r="F22"/>
  <c r="F16"/>
  <c r="I16"/>
  <c r="H16"/>
  <c r="H8"/>
  <c r="G16"/>
  <c r="G8"/>
  <c r="E16"/>
  <c r="E15"/>
  <c r="I12"/>
  <c r="E9" i="5"/>
  <c r="E7"/>
  <c r="I7"/>
  <c r="D24" i="6"/>
  <c r="D23"/>
  <c r="D20"/>
  <c r="D21"/>
  <c r="D17"/>
  <c r="D15"/>
  <c r="D13"/>
  <c r="D10"/>
  <c r="D14"/>
  <c r="D12"/>
  <c r="D16"/>
  <c r="D6"/>
  <c r="C24"/>
  <c r="C23"/>
  <c r="C20"/>
  <c r="C21"/>
  <c r="C17"/>
  <c r="C15"/>
  <c r="C13"/>
  <c r="C12"/>
  <c r="C16"/>
  <c r="C6"/>
  <c r="C7" i="5"/>
  <c r="I38" i="3"/>
  <c r="H38"/>
  <c r="G38"/>
  <c r="F38"/>
  <c r="E38"/>
  <c r="E36"/>
  <c r="I29"/>
  <c r="H29"/>
  <c r="G29"/>
  <c r="F29"/>
  <c r="E29"/>
  <c r="F28"/>
  <c r="E26"/>
  <c r="F26"/>
  <c r="E24"/>
  <c r="F24"/>
  <c r="F23"/>
  <c r="I23"/>
  <c r="H23"/>
  <c r="G23"/>
  <c r="E23"/>
  <c r="I19"/>
  <c r="H19"/>
  <c r="G19"/>
  <c r="F19"/>
  <c r="D15"/>
  <c r="I15"/>
  <c r="H15"/>
  <c r="I8"/>
  <c r="G15"/>
  <c r="H8"/>
  <c r="F15"/>
  <c r="E15"/>
  <c r="G8"/>
  <c r="F8"/>
  <c r="H45"/>
  <c r="F45"/>
  <c r="H44"/>
  <c r="F44"/>
  <c r="H43"/>
  <c r="F43"/>
  <c r="I102" i="2"/>
  <c r="H102"/>
  <c r="G102"/>
  <c r="F102"/>
  <c r="F92"/>
  <c r="G92"/>
  <c r="F91"/>
  <c r="G91"/>
  <c r="F81"/>
  <c r="F80"/>
  <c r="F78"/>
  <c r="F75"/>
  <c r="I75"/>
  <c r="H75"/>
  <c r="G75"/>
  <c r="F72"/>
  <c r="I66"/>
  <c r="H66"/>
  <c r="G66"/>
  <c r="F57"/>
  <c r="G57"/>
  <c r="H57"/>
  <c r="I57"/>
  <c r="M57"/>
  <c r="F53"/>
  <c r="F48"/>
  <c r="F46"/>
  <c r="F44"/>
  <c r="F43"/>
  <c r="F42"/>
  <c r="F41"/>
  <c r="J41"/>
  <c r="F39"/>
  <c r="G39"/>
  <c r="H39"/>
  <c r="I39"/>
  <c r="M39"/>
  <c r="F38"/>
  <c r="F37"/>
  <c r="G37"/>
  <c r="H37"/>
  <c r="I37"/>
  <c r="M37"/>
  <c r="F36"/>
  <c r="G36"/>
  <c r="H36"/>
  <c r="I34"/>
  <c r="H34"/>
  <c r="G34"/>
  <c r="F34"/>
  <c r="I33"/>
  <c r="H33"/>
  <c r="G33"/>
  <c r="F33"/>
  <c r="I16"/>
  <c r="H16"/>
  <c r="G16"/>
  <c r="F16"/>
  <c r="I15"/>
  <c r="I10"/>
  <c r="I24"/>
  <c r="H15"/>
  <c r="G15"/>
  <c r="F15"/>
  <c r="F9"/>
  <c r="E109"/>
  <c r="E102"/>
  <c r="E82"/>
  <c r="J82"/>
  <c r="E66"/>
  <c r="E49"/>
  <c r="E47"/>
  <c r="E45"/>
  <c r="F45"/>
  <c r="G45"/>
  <c r="H45"/>
  <c r="I45"/>
  <c r="E33"/>
  <c r="E34"/>
  <c r="E25"/>
  <c r="E23"/>
  <c r="E21"/>
  <c r="F21"/>
  <c r="E16"/>
  <c r="E14"/>
  <c r="J14"/>
  <c r="D109"/>
  <c r="M108"/>
  <c r="M109"/>
  <c r="J108"/>
  <c r="J109"/>
  <c r="M107"/>
  <c r="J107"/>
  <c r="M106"/>
  <c r="M105"/>
  <c r="M104"/>
  <c r="M103"/>
  <c r="J103"/>
  <c r="D102"/>
  <c r="M101"/>
  <c r="J101"/>
  <c r="M98"/>
  <c r="J98"/>
  <c r="M95"/>
  <c r="J95"/>
  <c r="M90"/>
  <c r="J90"/>
  <c r="M89"/>
  <c r="J89"/>
  <c r="M86"/>
  <c r="J86"/>
  <c r="M85"/>
  <c r="J85"/>
  <c r="L84"/>
  <c r="M81"/>
  <c r="M80"/>
  <c r="J80"/>
  <c r="M79"/>
  <c r="J79"/>
  <c r="M78"/>
  <c r="J78"/>
  <c r="M77"/>
  <c r="J77"/>
  <c r="M76"/>
  <c r="J76"/>
  <c r="M74"/>
  <c r="J74"/>
  <c r="M73"/>
  <c r="J73"/>
  <c r="M71"/>
  <c r="J71"/>
  <c r="M70"/>
  <c r="J70"/>
  <c r="M69"/>
  <c r="J69"/>
  <c r="M68"/>
  <c r="J68"/>
  <c r="M67"/>
  <c r="J67"/>
  <c r="D99"/>
  <c r="M65"/>
  <c r="J65"/>
  <c r="M64"/>
  <c r="J64"/>
  <c r="M63"/>
  <c r="J63"/>
  <c r="M62"/>
  <c r="J62"/>
  <c r="M61"/>
  <c r="J61"/>
  <c r="M60"/>
  <c r="J60"/>
  <c r="M59"/>
  <c r="J59"/>
  <c r="M58"/>
  <c r="J58"/>
  <c r="M56"/>
  <c r="J56"/>
  <c r="M55"/>
  <c r="J55"/>
  <c r="M54"/>
  <c r="J54"/>
  <c r="M53"/>
  <c r="J53"/>
  <c r="M52"/>
  <c r="J52"/>
  <c r="M51"/>
  <c r="J51"/>
  <c r="M50"/>
  <c r="J50"/>
  <c r="M49"/>
  <c r="J49"/>
  <c r="J48"/>
  <c r="M44"/>
  <c r="J44"/>
  <c r="M43"/>
  <c r="J43"/>
  <c r="M40"/>
  <c r="J40"/>
  <c r="M35"/>
  <c r="J35"/>
  <c r="M32"/>
  <c r="J32"/>
  <c r="J31"/>
  <c r="J30"/>
  <c r="J29"/>
  <c r="J28"/>
  <c r="J27"/>
  <c r="M26"/>
  <c r="J26"/>
  <c r="M23"/>
  <c r="J23"/>
  <c r="M22"/>
  <c r="J22"/>
  <c r="M20"/>
  <c r="J20"/>
  <c r="M19"/>
  <c r="J19"/>
  <c r="M18"/>
  <c r="J18"/>
  <c r="M17"/>
  <c r="J17"/>
  <c r="J16"/>
  <c r="M14"/>
  <c r="M13"/>
  <c r="J13"/>
  <c r="M12"/>
  <c r="J12"/>
  <c r="M11"/>
  <c r="J11"/>
  <c r="M9"/>
  <c r="E8" i="4"/>
  <c r="E26"/>
  <c r="F26"/>
  <c r="F30"/>
  <c r="H30"/>
  <c r="E30"/>
  <c r="H34"/>
  <c r="E19" i="3"/>
  <c r="I8" i="4"/>
  <c r="G30"/>
  <c r="F37"/>
  <c r="G37"/>
  <c r="G34"/>
  <c r="E99" i="2"/>
  <c r="N66"/>
  <c r="E24" i="4"/>
  <c r="E48"/>
  <c r="E63"/>
  <c r="E65"/>
  <c r="F15"/>
  <c r="F8"/>
  <c r="I30"/>
  <c r="I24"/>
  <c r="F27"/>
  <c r="H37"/>
  <c r="H24"/>
  <c r="H48"/>
  <c r="H63"/>
  <c r="D25" i="6"/>
  <c r="D18"/>
  <c r="D22"/>
  <c r="C25"/>
  <c r="C18"/>
  <c r="C22"/>
  <c r="C10"/>
  <c r="C14"/>
  <c r="E17" i="3"/>
  <c r="F36"/>
  <c r="I36"/>
  <c r="H36"/>
  <c r="G36"/>
  <c r="E25"/>
  <c r="M21" i="2"/>
  <c r="J21"/>
  <c r="E15"/>
  <c r="M15"/>
  <c r="E75"/>
  <c r="E10"/>
  <c r="E24"/>
  <c r="M16"/>
  <c r="F10"/>
  <c r="F24"/>
  <c r="F84"/>
  <c r="G10"/>
  <c r="G24"/>
  <c r="F25"/>
  <c r="H10"/>
  <c r="H24"/>
  <c r="I36"/>
  <c r="H91"/>
  <c r="G99"/>
  <c r="H92"/>
  <c r="F99"/>
  <c r="F93"/>
  <c r="J33"/>
  <c r="G38"/>
  <c r="H38"/>
  <c r="I38"/>
  <c r="G46"/>
  <c r="H46"/>
  <c r="I46"/>
  <c r="M46"/>
  <c r="J72"/>
  <c r="F66"/>
  <c r="M66"/>
  <c r="M41"/>
  <c r="M72"/>
  <c r="M82"/>
  <c r="M47"/>
  <c r="J47"/>
  <c r="J38"/>
  <c r="J81"/>
  <c r="M38"/>
  <c r="J37"/>
  <c r="J39"/>
  <c r="J34"/>
  <c r="M34"/>
  <c r="M33"/>
  <c r="J42"/>
  <c r="M45"/>
  <c r="M48"/>
  <c r="J105"/>
  <c r="M42"/>
  <c r="J57"/>
  <c r="J66"/>
  <c r="J9"/>
  <c r="J15"/>
  <c r="J104"/>
  <c r="J106"/>
  <c r="F24" i="4"/>
  <c r="G24"/>
  <c r="G48"/>
  <c r="G63"/>
  <c r="I48"/>
  <c r="I63"/>
  <c r="F48"/>
  <c r="F63"/>
  <c r="E84" i="2"/>
  <c r="E87"/>
  <c r="E88"/>
  <c r="N75"/>
  <c r="E100"/>
  <c r="E93"/>
  <c r="E94"/>
  <c r="E83"/>
  <c r="G17" i="3"/>
  <c r="I17"/>
  <c r="H17"/>
  <c r="F17"/>
  <c r="I25"/>
  <c r="F25"/>
  <c r="H25"/>
  <c r="G25"/>
  <c r="I91" i="2"/>
  <c r="I99"/>
  <c r="H99"/>
  <c r="F97"/>
  <c r="F96"/>
  <c r="H25"/>
  <c r="H84"/>
  <c r="I92"/>
  <c r="I25"/>
  <c r="I84"/>
  <c r="G25"/>
  <c r="J92"/>
  <c r="M10"/>
  <c r="J10"/>
  <c r="J75"/>
  <c r="M102"/>
  <c r="J102"/>
  <c r="J36"/>
  <c r="M75"/>
  <c r="K9"/>
  <c r="K91"/>
  <c r="K66"/>
  <c r="J46"/>
  <c r="J45"/>
  <c r="F65" i="4"/>
  <c r="G64"/>
  <c r="G65"/>
  <c r="H64"/>
  <c r="H65"/>
  <c r="I64"/>
  <c r="I65"/>
  <c r="K75" i="2"/>
  <c r="K92"/>
  <c r="K10"/>
  <c r="K25"/>
  <c r="K84"/>
  <c r="I93"/>
  <c r="F83"/>
  <c r="G84"/>
  <c r="G93"/>
  <c r="H93"/>
  <c r="E97"/>
  <c r="E96"/>
  <c r="M92"/>
  <c r="M36"/>
  <c r="J24"/>
  <c r="M24"/>
  <c r="D100"/>
  <c r="K100"/>
  <c r="H97"/>
  <c r="H96"/>
  <c r="H83"/>
  <c r="G97"/>
  <c r="G96"/>
  <c r="G83"/>
  <c r="I83"/>
  <c r="M91"/>
  <c r="J91"/>
  <c r="J25"/>
  <c r="J99"/>
  <c r="M84"/>
  <c r="M25"/>
  <c r="M100"/>
  <c r="J84"/>
  <c r="J100"/>
  <c r="I97"/>
  <c r="I96"/>
  <c r="M87"/>
  <c r="J87"/>
  <c r="M99"/>
  <c r="M94"/>
  <c r="M93"/>
  <c r="J93"/>
  <c r="M88"/>
  <c r="J88"/>
  <c r="J94"/>
  <c r="M83"/>
  <c r="J83"/>
  <c r="M96"/>
  <c r="M97"/>
  <c r="J97"/>
  <c r="J96"/>
</calcChain>
</file>

<file path=xl/sharedStrings.xml><?xml version="1.0" encoding="utf-8"?>
<sst xmlns="http://schemas.openxmlformats.org/spreadsheetml/2006/main" count="434" uniqueCount="332">
  <si>
    <t>ЗАТВЕРДЖЕНО</t>
  </si>
  <si>
    <t>ЗМІНЕНИЙ ФІНАНСОВИЙ ПЛАН</t>
  </si>
  <si>
    <t>коди</t>
  </si>
  <si>
    <t>рік</t>
  </si>
  <si>
    <t xml:space="preserve">Підприємство  </t>
  </si>
  <si>
    <r>
      <t>Комунальне підприємство Нетішинської міської ради "Житлово-комунальне об</t>
    </r>
    <r>
      <rPr>
        <b/>
        <sz val="12"/>
        <rFont val="Times New Roman"/>
        <family val="1"/>
        <charset val="204"/>
      </rPr>
      <t>'</t>
    </r>
    <r>
      <rPr>
        <b/>
        <i/>
        <sz val="12"/>
        <rFont val="Times New Roman"/>
        <family val="1"/>
        <charset val="204"/>
      </rPr>
      <t>єднання"</t>
    </r>
  </si>
  <si>
    <t xml:space="preserve">за ЄДПОУ </t>
  </si>
  <si>
    <t xml:space="preserve">Організаційно-правова форма </t>
  </si>
  <si>
    <t>Комунальне підприємство</t>
  </si>
  <si>
    <t>за КОПФГ</t>
  </si>
  <si>
    <t xml:space="preserve">Галузь     </t>
  </si>
  <si>
    <t>за ЗКГНГ</t>
  </si>
  <si>
    <t>93.29</t>
  </si>
  <si>
    <t xml:space="preserve">Вид економічної діяльності    </t>
  </si>
  <si>
    <t xml:space="preserve">за  КВЕД  </t>
  </si>
  <si>
    <t>81.10</t>
  </si>
  <si>
    <t>Одиниця виміру: тис. гривень</t>
  </si>
  <si>
    <t>Форма власності</t>
  </si>
  <si>
    <t>Комунальна</t>
  </si>
  <si>
    <t>Чисельність працівників</t>
  </si>
  <si>
    <t xml:space="preserve">Місцезнаходження  </t>
  </si>
  <si>
    <t xml:space="preserve">Телефон </t>
  </si>
  <si>
    <t>9-14-89, 9-13-50</t>
  </si>
  <si>
    <t xml:space="preserve">Прізвище та ініціали керівника  </t>
  </si>
  <si>
    <t>Бровко Дар'я Станіславівна</t>
  </si>
  <si>
    <t>ЗМІНЕНИЙ ФІНАНСОВИЙ ПЛАН ПІДПРИЄМСТВА НА 2026 рік</t>
  </si>
  <si>
    <t>Таблиця 1</t>
  </si>
  <si>
    <t>I. Формування фінансових результатів</t>
  </si>
  <si>
    <t>Найменування показника</t>
  </si>
  <si>
    <t xml:space="preserve">Код рядка </t>
  </si>
  <si>
    <t>Факт минулого року 2025</t>
  </si>
  <si>
    <t>Фінансовий план поточного року 2026</t>
  </si>
  <si>
    <t>Змінений фінансовий план 2026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</si>
  <si>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</si>
  <si>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</si>
  <si>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</si>
  <si>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</si>
  <si>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</si>
  <si>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Доходи і витрати (деталізація)</t>
  </si>
  <si>
    <t>факт лист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</si>
  <si>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</si>
  <si>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</si>
  <si>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</si>
  <si>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</si>
  <si>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</si>
  <si>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</si>
  <si>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</si>
  <si>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</si>
  <si>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Обслуговування ліфтів</t>
  </si>
  <si>
    <t>1016/1</t>
  </si>
  <si>
    <t>Поточний ремонт покрівлі, герметизації стиків</t>
  </si>
  <si>
    <t>1016/2</t>
  </si>
  <si>
    <t>Амортизація основних засобів і нематеріальних активів</t>
  </si>
  <si>
    <t>Інші витрати (розшифрувати)</t>
  </si>
  <si>
    <t>Вивезення та захоронення сміття</t>
  </si>
  <si>
    <t>Загальновиробничі витрати</t>
  </si>
  <si>
    <t>Інші (комун.посл., тех.обслуговування, дератизація, дезинсекція та ін.)</t>
  </si>
  <si>
    <t>Валовий прибуток (збиток)</t>
  </si>
  <si>
    <t>Адміністративні витрати, у т.ч.:</t>
  </si>
  <si>
    <t>витрати, пов'язані з використанням власних службових автомобілів</t>
  </si>
  <si>
    <t>витрати на оренду службових автомобілів</t>
  </si>
  <si>
    <t>-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</si>
  <si>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</si>
  <si>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</si>
  <si>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</si>
  <si>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</si>
  <si>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</si>
  <si>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</si>
  <si>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</si>
  <si>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загально-господарського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</si>
  <si>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</si>
  <si>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</si>
  <si>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</si>
  <si>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</si>
  <si>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інформаційно-консультативні послуги, обсл.ПК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</si>
  <si>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</si>
  <si>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</si>
  <si>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</si>
  <si>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>витрати на підвищення кваліфікації та перепідготовку кадрів (навчання працівників)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</si>
  <si>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</si>
  <si>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</si>
  <si>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</si>
  <si>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</si>
  <si>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електроенергія</t>
  </si>
  <si>
    <t>1051/1</t>
  </si>
  <si>
    <t>комун.послуги</t>
  </si>
  <si>
    <t>1051/2</t>
  </si>
  <si>
    <t>пожежна охорона</t>
  </si>
  <si>
    <t>1051/3</t>
  </si>
  <si>
    <t>преса та оголошення</t>
  </si>
  <si>
    <t>1051/4</t>
  </si>
  <si>
    <t>послуги банківсього обслуговування</t>
  </si>
  <si>
    <t>1051/5</t>
  </si>
  <si>
    <t>відрахування 0,3%</t>
  </si>
  <si>
    <t>1051/6</t>
  </si>
  <si>
    <t>сировина і матеріали</t>
  </si>
  <si>
    <t>1051/7</t>
  </si>
  <si>
    <t>внески на утримання адм.буд</t>
  </si>
  <si>
    <t>1051/8</t>
  </si>
  <si>
    <t>адм.та судові збори</t>
  </si>
  <si>
    <t>1051/9</t>
  </si>
  <si>
    <t>обст.констр., визн.тех.стану і т.п., експ.оцінка адмін.прим.</t>
  </si>
  <si>
    <t>1051/10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</si>
  <si>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</si>
  <si>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</si>
  <si>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</si>
  <si>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</si>
  <si>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</si>
  <si>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</si>
  <si>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 доходи (розшифрувати)</t>
  </si>
  <si>
    <t>електроенергія населення</t>
  </si>
  <si>
    <t>1070/1</t>
  </si>
  <si>
    <t>орендна плата</t>
  </si>
  <si>
    <t>1070/2</t>
  </si>
  <si>
    <t>дохід від реал.обор.актив.</t>
  </si>
  <si>
    <t>1070/3</t>
  </si>
  <si>
    <t>1070/4</t>
  </si>
  <si>
    <t>пені, неуст., відсотки банку</t>
  </si>
  <si>
    <t>1070/5</t>
  </si>
  <si>
    <t>інші фінансові доходи</t>
  </si>
  <si>
    <t>1070/6</t>
  </si>
  <si>
    <t>капітальний ремонт ліфтів</t>
  </si>
  <si>
    <t>1070/7</t>
  </si>
  <si>
    <t>користування нерухомим майном (водогони)</t>
  </si>
  <si>
    <t>1070/8</t>
  </si>
  <si>
    <t>Інші операційні витрати (розшифрувати)</t>
  </si>
  <si>
    <t>електр.енергія населення</t>
  </si>
  <si>
    <t>1080/1</t>
  </si>
  <si>
    <t>1080/2</t>
  </si>
  <si>
    <t>собівартість реаліз.виробн.запасів</t>
  </si>
  <si>
    <t>1080/3</t>
  </si>
  <si>
    <t>кап.ремонт ліфтів</t>
  </si>
  <si>
    <t>1080/4</t>
  </si>
  <si>
    <t>інші витрати</t>
  </si>
  <si>
    <t>1080/5</t>
  </si>
  <si>
    <t>пені, штрафи, неустойки</t>
  </si>
  <si>
    <t>1080/6</t>
  </si>
  <si>
    <t>тех.обслуг.водопровідних мереж садибної забудови</t>
  </si>
  <si>
    <t>1080/7</t>
  </si>
  <si>
    <t>нар.частини чист.приб.</t>
  </si>
  <si>
    <t>1080/8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</si>
  <si>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</si>
  <si>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</si>
  <si>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</si>
  <si>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</si>
  <si>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</si>
  <si>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 (амортизація)</t>
  </si>
  <si>
    <t>Інші витрати (амортизація)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</si>
  <si>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</si>
  <si>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</si>
  <si>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</si>
  <si>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>Чистий фінансовий результат, у т.ч.:</t>
  </si>
  <si>
    <t xml:space="preserve">прибуток </t>
  </si>
  <si>
    <t>збиток</t>
  </si>
  <si>
    <t>Усього доходів</t>
  </si>
  <si>
    <t>Усього витрат</t>
  </si>
  <si>
    <t>Елементи операційних витрат</t>
  </si>
  <si>
    <t>Матеріальні витрати, у т.ч.:</t>
  </si>
  <si>
    <t xml:space="preserve">Витрати на паливо та енергію </t>
  </si>
  <si>
    <t>Амортизація</t>
  </si>
  <si>
    <t>Інші операційні витрати</t>
  </si>
  <si>
    <t>Усього</t>
  </si>
  <si>
    <t>Начальник КП НМР "ЖКО"</t>
  </si>
  <si>
    <t>______________________</t>
  </si>
  <si>
    <t>Дар'я БРОВКО</t>
  </si>
  <si>
    <t>Головний бухгалтер</t>
  </si>
  <si>
    <t>Оксана ЗОЩУК</t>
  </si>
  <si>
    <t>Таблиця 2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</si>
  <si>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</si>
  <si>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</si>
  <si>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</si>
  <si>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Нараховані до сплати відрахування частини чистого прибутку усього, у т.ч.: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</si>
  <si>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</si>
  <si>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</si>
  <si>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</si>
  <si>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</si>
  <si>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</si>
  <si>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</si>
  <si>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</si>
  <si>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т.ч.:</t>
  </si>
  <si>
    <t>Податок на прибуток підприємств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</si>
  <si>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</si>
  <si>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</si>
  <si>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</si>
  <si>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Податок на доходи фізичних осіб</t>
  </si>
  <si>
    <t>Інші податки та збори (розшифрувати)</t>
  </si>
  <si>
    <t>військовий збір</t>
  </si>
  <si>
    <t>2116/1</t>
  </si>
  <si>
    <t>Сплата податків та зборів до місцевих бюджетів (податкові платежі), усього, у тому числі:</t>
  </si>
  <si>
    <t>податок на доходи фізичних осіб</t>
  </si>
  <si>
    <t>земельний податок</t>
  </si>
  <si>
    <t>інші податки та збори (розшифрувати)</t>
  </si>
  <si>
    <t>Екологічний податок</t>
  </si>
  <si>
    <t>2124/1</t>
  </si>
  <si>
    <t>Податок на воду</t>
  </si>
  <si>
    <t>2124/2</t>
  </si>
  <si>
    <t>Орендна плата за розташування рекламного засобу</t>
  </si>
  <si>
    <t>2124/3</t>
  </si>
  <si>
    <t>податок на прибуток підприємств</t>
  </si>
  <si>
    <t>2124/4</t>
  </si>
  <si>
    <t>частина чистого прибутку</t>
  </si>
  <si>
    <t>2124/5</t>
  </si>
  <si>
    <t>адміністративні штрафи</t>
  </si>
  <si>
    <t>2124/6</t>
  </si>
  <si>
    <t>Інші податки, збори та платежі на користь держави, усього, у т. ч.: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</si>
  <si>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</si>
  <si>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</si>
  <si>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</si>
  <si>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</si>
  <si>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</si>
  <si>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</si>
  <si>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Головний бухгалтер </t>
  </si>
  <si>
    <t>Таблиця 3</t>
  </si>
  <si>
    <t>ІІІ. Рух грошових коштів</t>
  </si>
  <si>
    <t>Код рядка</t>
  </si>
  <si>
    <t>І. Рух коштів у результаті операційної діяльності</t>
  </si>
  <si>
    <t xml:space="preserve">Надходження грошових коштів від операційної діяльності 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</si>
  <si>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</si>
  <si>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</si>
  <si>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</si>
  <si>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Цільове фінансування</t>
  </si>
  <si>
    <t>Надходження авансів від покупців і замовників</t>
  </si>
  <si>
    <t>Отримання коштів за короткостроковими зобов'язаннями</t>
  </si>
  <si>
    <t>Від операційної оренди</t>
  </si>
  <si>
    <r>
      <t>Інші надходження (розшифрувати)</t>
    </r>
    <r>
      <rPr>
        <i/>
        <sz val="11"/>
        <rFont val="Times New Roman"/>
        <family val="1"/>
        <charset val="204"/>
      </rPr>
      <t xml:space="preserve"> </t>
    </r>
  </si>
  <si>
    <t>Від пені, штрафи, неустойки</t>
  </si>
  <si>
    <t>3060/1</t>
  </si>
  <si>
    <t>Надходження від ФСС</t>
  </si>
  <si>
    <t>3060/2</t>
  </si>
  <si>
    <t>Повернення оплат від продавців</t>
  </si>
  <si>
    <t>3060/3</t>
  </si>
  <si>
    <t>Надходження від отримання субсидій та дотацій</t>
  </si>
  <si>
    <t>3060/4</t>
  </si>
  <si>
    <t>Поповнення статутного капіталу</t>
  </si>
  <si>
    <t>3060/5</t>
  </si>
  <si>
    <t>Повернення суд.зборів та ін.</t>
  </si>
  <si>
    <t>3060/6</t>
  </si>
  <si>
    <t>Повернення заробітної плати</t>
  </si>
  <si>
    <t>3060/7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</si>
  <si>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</si>
  <si>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</si>
  <si>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</si>
  <si>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Фонд оплати праці</t>
  </si>
  <si>
    <t>3120/1</t>
  </si>
  <si>
    <t>ЄСВ</t>
  </si>
  <si>
    <t>3120/2</t>
  </si>
  <si>
    <t>Повернення коштів за короткостроковими зобов'язаннями</t>
  </si>
  <si>
    <t>Зобов’язання з податків, зборів та інших обов’язкових платежів, у тому числі:</t>
  </si>
  <si>
    <t xml:space="preserve">податок на прибуток </t>
  </si>
  <si>
    <t>податок на додану вартість</t>
  </si>
  <si>
    <t>інші обов’язкові платежі, у тому числі:</t>
  </si>
  <si>
    <t>відрахування частини чистого прибутку до бюджету</t>
  </si>
  <si>
    <t>3144/1</t>
  </si>
  <si>
    <t>3144/2</t>
  </si>
  <si>
    <t>Інші платежі (розшифрувати)</t>
  </si>
  <si>
    <t>Податок на землю</t>
  </si>
  <si>
    <t>3150/1</t>
  </si>
  <si>
    <t>3150/2</t>
  </si>
  <si>
    <t>Орендна плата до бюджету</t>
  </si>
  <si>
    <t>3150/3</t>
  </si>
  <si>
    <t>3150/4</t>
  </si>
  <si>
    <t>Повернення коштів до бюджету</t>
  </si>
  <si>
    <t>Борг перед ХАЕС зг.ріш.суду</t>
  </si>
  <si>
    <t>3170/1</t>
  </si>
  <si>
    <t>Банківське обслуг.</t>
  </si>
  <si>
    <t>3170/2</t>
  </si>
  <si>
    <t>Інші витрати</t>
  </si>
  <si>
    <t>3170/3</t>
  </si>
  <si>
    <t>Витрачання на оплату повернення авансів</t>
  </si>
  <si>
    <t>3170/4</t>
  </si>
  <si>
    <t>Чистий рух коштів від операційної діяльності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</si>
  <si>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</si>
  <si>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</si>
  <si>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</si>
  <si>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</si>
  <si>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Інші надходження (розшифрувати) </t>
  </si>
  <si>
    <t xml:space="preserve">Видатки грошових коштів від інвестиційної діяльності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</si>
  <si>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</si>
  <si>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</si>
  <si>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>реконструкція електромереж і систем обліку спожитої електроенергії гуртожитків</t>
  </si>
  <si>
    <t>3265/1</t>
  </si>
  <si>
    <t>проведення капітального ремонту внутрішніх інженерних мереж водопостачання, водовідведення будівель гуртожитків</t>
  </si>
  <si>
    <t>3265/2</t>
  </si>
  <si>
    <t>проведення капітальних ремонтів та модернізація ліфтів у будівлях гуртожитків</t>
  </si>
  <si>
    <t>3265/3</t>
  </si>
  <si>
    <t xml:space="preserve">Придбання (створення) нематеріальних активів (розшифрувати) </t>
  </si>
  <si>
    <t>Чистий рух коштів від інвестиційної діяльності </t>
  </si>
  <si>
    <t>Чистий грошовий потік</t>
  </si>
  <si>
    <t>Залишок коштів на початок періоду</t>
  </si>
  <si>
    <t>Залишок коштів на кінець періоду</t>
  </si>
  <si>
    <t>_________________</t>
  </si>
  <si>
    <t>Таблиця 4</t>
  </si>
  <si>
    <t xml:space="preserve">IV. Капітальні інвестиції 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</si>
  <si>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</si>
  <si>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</si>
  <si>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</si>
  <si>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</si>
  <si>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</si>
  <si>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</si>
  <si>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</si>
  <si>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</si>
  <si>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Таблиця 5</t>
  </si>
  <si>
    <t>V. Дані про персонал та витрати на оплату праці</t>
  </si>
  <si>
    <r>
      <t xml:space="preserve">Середня кількість працівників </t>
    </r>
    <r>
      <rPr>
        <sz val="1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1"/>
        <rFont val="Times New Roman"/>
        <family val="1"/>
        <charset val="204"/>
      </rPr>
      <t>, у тому числі:</t>
    </r>
  </si>
  <si>
    <t>начальник</t>
  </si>
  <si>
    <t>адміністративно-управлінський персонал</t>
  </si>
  <si>
    <t>працівники</t>
  </si>
  <si>
    <t>Фонд оплати праці, тис. грн, у тому числі:</t>
  </si>
  <si>
    <t>Середньомісячна заробітна плата одного працівника (грн), усього,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</si>
  <si>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</si>
  <si>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</si>
  <si>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____________</t>
  </si>
  <si>
    <t>Таблиця 6</t>
  </si>
  <si>
    <t>VІ. Розподіл коштів, отриманих з бюджету МТГ на поповнення 
статутного капіталу</t>
  </si>
  <si>
    <t>Надходження коштів з бюджету МТГ</t>
  </si>
  <si>
    <t>Поповнення статутного капіталу підприємства</t>
  </si>
  <si>
    <t xml:space="preserve">Направлення коштів на: </t>
  </si>
  <si>
    <t>Придбання на оновлення необоротних активів (розшифрувати)</t>
  </si>
  <si>
    <t>Поповнення обігових коштів підприємства (розшифрувати)</t>
  </si>
  <si>
    <t>для розрахунку з кредитором (ВП ХАЕС)</t>
  </si>
  <si>
    <t>6020/1</t>
  </si>
  <si>
    <t>__________________</t>
  </si>
  <si>
    <t>матер.та послуги придбані за бюдж.кошти (в т.ч.амортизація)</t>
  </si>
  <si>
    <t>матер.та послуги придбані за бюдж.кошти (в т.ч. амортизація)</t>
  </si>
  <si>
    <t>_____________</t>
  </si>
  <si>
    <t>м.Нетішин, просп. Незалежності, 31, прим. 102</t>
  </si>
  <si>
    <t>Додаток</t>
  </si>
  <si>
    <t>Нетішинської міської ради</t>
  </si>
  <si>
    <t>VIII скликання</t>
  </si>
  <si>
    <t>(у редакції рішення _____________ ___________ сесії Нетішинської міської ради VIII скликання 
__.__.____ № __/____</t>
  </si>
  <si>
    <t>Рішення сімдесят шостої сесії</t>
  </si>
  <si>
    <t>03.04.2026 № 76/3445</t>
  </si>
</sst>
</file>

<file path=xl/styles.xml><?xml version="1.0" encoding="utf-8"?>
<styleSheet xmlns="http://schemas.openxmlformats.org/spreadsheetml/2006/main">
  <numFmts count="6">
    <numFmt numFmtId="164" formatCode="_-* #,##0\ _₴_-;\-* #,##0\ _₴_-;_-* &quot;-&quot;\ _₴_-;_-@_-"/>
    <numFmt numFmtId="165" formatCode="_(* #,##0_);_(* \(#,##0\);_(* &quot;-&quot;_);_(@_)"/>
    <numFmt numFmtId="166" formatCode="_(* #,##0.0_);_(* \(#,##0.0\);_(* &quot;-&quot;_);_(@_)"/>
    <numFmt numFmtId="167" formatCode="_(* #,##0_);_(* \(#,##0\);_(* &quot;-&quot;??_);_(@_)"/>
    <numFmt numFmtId="168" formatCode="#,##0.0"/>
    <numFmt numFmtId="169" formatCode="0.0"/>
  </numFmts>
  <fonts count="2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6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right" vertical="center" wrapText="1" shrinkToFit="1"/>
    </xf>
    <xf numFmtId="4" fontId="10" fillId="0" borderId="0" xfId="0" applyNumberFormat="1" applyFont="1" applyFill="1" applyBorder="1" applyAlignment="1">
      <alignment horizontal="right" vertical="center" wrapText="1" shrinkToFi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 readingOrder="1"/>
    </xf>
    <xf numFmtId="165" fontId="12" fillId="0" borderId="12" xfId="0" applyNumberFormat="1" applyFont="1" applyFill="1" applyBorder="1" applyAlignment="1">
      <alignment horizontal="center" vertical="center" wrapText="1" readingOrder="1"/>
    </xf>
    <xf numFmtId="0" fontId="13" fillId="0" borderId="12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164" fontId="13" fillId="2" borderId="12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164" fontId="12" fillId="0" borderId="12" xfId="0" applyNumberFormat="1" applyFont="1" applyFill="1" applyBorder="1" applyAlignment="1">
      <alignment horizontal="right" vertical="center" wrapText="1" readingOrder="1"/>
    </xf>
    <xf numFmtId="164" fontId="12" fillId="0" borderId="12" xfId="0" applyNumberFormat="1" applyFont="1" applyFill="1" applyBorder="1" applyAlignment="1">
      <alignment horizontal="right" vertical="center" readingOrder="1"/>
    </xf>
    <xf numFmtId="0" fontId="12" fillId="0" borderId="12" xfId="0" applyFont="1" applyFill="1" applyBorder="1" applyAlignment="1">
      <alignment horizontal="left" vertical="center"/>
    </xf>
    <xf numFmtId="0" fontId="14" fillId="0" borderId="12" xfId="0" quotePrefix="1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right" vertical="center" wrapText="1" readingOrder="1"/>
    </xf>
    <xf numFmtId="3" fontId="12" fillId="0" borderId="12" xfId="0" applyNumberFormat="1" applyFont="1" applyFill="1" applyBorder="1" applyAlignment="1">
      <alignment horizontal="right" vertical="center" wrapText="1" readingOrder="1"/>
    </xf>
    <xf numFmtId="1" fontId="12" fillId="0" borderId="12" xfId="0" applyNumberFormat="1" applyFont="1" applyFill="1" applyBorder="1" applyAlignment="1">
      <alignment horizontal="right" vertical="center" readingOrder="1"/>
    </xf>
    <xf numFmtId="0" fontId="12" fillId="0" borderId="12" xfId="0" applyNumberFormat="1" applyFont="1" applyFill="1" applyBorder="1" applyAlignment="1">
      <alignment horizontal="right" vertical="center" wrapText="1" readingOrder="1"/>
    </xf>
    <xf numFmtId="1" fontId="12" fillId="0" borderId="12" xfId="0" applyNumberFormat="1" applyFont="1" applyFill="1" applyBorder="1" applyAlignment="1">
      <alignment horizontal="right" vertical="center" wrapText="1" readingOrder="1"/>
    </xf>
    <xf numFmtId="0" fontId="13" fillId="0" borderId="12" xfId="0" applyFont="1" applyFill="1" applyBorder="1" applyAlignment="1">
      <alignment horizontal="left" vertical="center" wrapText="1" shrinkToFit="1"/>
    </xf>
    <xf numFmtId="164" fontId="13" fillId="0" borderId="12" xfId="0" applyNumberFormat="1" applyFont="1" applyFill="1" applyBorder="1" applyAlignment="1">
      <alignment horizontal="right" vertical="center" readingOrder="1"/>
    </xf>
    <xf numFmtId="0" fontId="13" fillId="0" borderId="13" xfId="0" applyFont="1" applyFill="1" applyBorder="1" applyAlignment="1">
      <alignment horizontal="lef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3" fontId="13" fillId="0" borderId="12" xfId="0" applyNumberFormat="1" applyFont="1" applyFill="1" applyBorder="1" applyAlignment="1">
      <alignment horizontal="right" vertical="center" wrapText="1"/>
    </xf>
    <xf numFmtId="164" fontId="12" fillId="0" borderId="12" xfId="0" applyNumberFormat="1" applyFont="1" applyFill="1" applyBorder="1" applyAlignment="1">
      <alignment horizontal="right" vertical="center" wrapText="1"/>
    </xf>
    <xf numFmtId="164" fontId="13" fillId="2" borderId="12" xfId="0" applyNumberFormat="1" applyFont="1" applyFill="1" applyBorder="1" applyAlignment="1">
      <alignment horizontal="right" vertical="center" readingOrder="1"/>
    </xf>
    <xf numFmtId="166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quotePrefix="1" applyFont="1" applyFill="1" applyBorder="1" applyAlignment="1">
      <alignment horizontal="center" vertical="center"/>
    </xf>
    <xf numFmtId="168" fontId="1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12" fillId="0" borderId="0" xfId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11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/>
    </xf>
    <xf numFmtId="165" fontId="12" fillId="2" borderId="12" xfId="0" applyNumberFormat="1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right" vertical="center" wrapText="1"/>
    </xf>
    <xf numFmtId="0" fontId="12" fillId="0" borderId="12" xfId="1" applyFont="1" applyFill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right" vertical="center" wrapText="1"/>
    </xf>
    <xf numFmtId="0" fontId="13" fillId="2" borderId="12" xfId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right" vertical="center" wrapText="1"/>
    </xf>
    <xf numFmtId="165" fontId="13" fillId="2" borderId="12" xfId="0" applyNumberFormat="1" applyFont="1" applyFill="1" applyBorder="1" applyAlignment="1">
      <alignment horizontal="right" vertical="center" wrapText="1"/>
    </xf>
    <xf numFmtId="164" fontId="12" fillId="3" borderId="12" xfId="0" applyNumberFormat="1" applyFont="1" applyFill="1" applyBorder="1" applyAlignment="1">
      <alignment horizontal="right" vertical="center" wrapText="1"/>
    </xf>
    <xf numFmtId="0" fontId="14" fillId="2" borderId="12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right" vertical="center" wrapText="1"/>
    </xf>
    <xf numFmtId="0" fontId="12" fillId="3" borderId="12" xfId="0" applyFont="1" applyFill="1" applyBorder="1" applyAlignment="1">
      <alignment horizontal="left" vertical="center" wrapText="1"/>
    </xf>
    <xf numFmtId="165" fontId="13" fillId="0" borderId="12" xfId="0" applyNumberFormat="1" applyFont="1" applyFill="1" applyBorder="1" applyAlignment="1">
      <alignment horizontal="right" vertical="center" wrapText="1"/>
    </xf>
    <xf numFmtId="0" fontId="11" fillId="0" borderId="12" xfId="1" applyFont="1" applyFill="1" applyBorder="1" applyAlignment="1">
      <alignment horizontal="left" vertical="center" wrapText="1"/>
    </xf>
    <xf numFmtId="165" fontId="11" fillId="3" borderId="12" xfId="0" applyNumberFormat="1" applyFont="1" applyFill="1" applyBorder="1" applyAlignment="1">
      <alignment horizontal="center" vertical="center" wrapText="1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168" fontId="12" fillId="3" borderId="0" xfId="1" applyNumberFormat="1" applyFont="1" applyFill="1" applyBorder="1" applyAlignment="1">
      <alignment horizontal="center" vertical="center" wrapText="1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168" fontId="15" fillId="0" borderId="0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horizontal="left" vertical="center" wrapText="1"/>
    </xf>
    <xf numFmtId="168" fontId="12" fillId="0" borderId="0" xfId="0" quotePrefix="1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2" fillId="3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 shrinkToFit="1"/>
    </xf>
    <xf numFmtId="0" fontId="17" fillId="0" borderId="0" xfId="0" applyFont="1"/>
    <xf numFmtId="1" fontId="12" fillId="0" borderId="12" xfId="0" applyNumberFormat="1" applyFont="1" applyFill="1" applyBorder="1" applyAlignment="1">
      <alignment horizontal="right" vertical="center" wrapText="1"/>
    </xf>
    <xf numFmtId="0" fontId="12" fillId="0" borderId="12" xfId="0" applyNumberFormat="1" applyFont="1" applyFill="1" applyBorder="1" applyAlignment="1">
      <alignment horizontal="right" vertical="center" wrapText="1"/>
    </xf>
    <xf numFmtId="1" fontId="18" fillId="0" borderId="12" xfId="0" applyNumberFormat="1" applyFont="1" applyFill="1" applyBorder="1" applyAlignment="1">
      <alignment horizontal="right" vertical="center" wrapText="1"/>
    </xf>
    <xf numFmtId="0" fontId="12" fillId="0" borderId="1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quotePrefix="1" applyFont="1" applyFill="1" applyBorder="1" applyAlignment="1">
      <alignment horizontal="center" vertical="center"/>
    </xf>
    <xf numFmtId="169" fontId="13" fillId="0" borderId="0" xfId="0" applyNumberFormat="1" applyFont="1" applyFill="1" applyBorder="1" applyAlignment="1">
      <alignment horizontal="center" vertical="center" wrapText="1"/>
    </xf>
    <xf numFmtId="169" fontId="13" fillId="0" borderId="0" xfId="0" applyNumberFormat="1" applyFont="1" applyFill="1" applyBorder="1" applyAlignment="1">
      <alignment horizontal="right" vertical="center" wrapText="1"/>
    </xf>
    <xf numFmtId="169" fontId="13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/>
    <xf numFmtId="0" fontId="12" fillId="0" borderId="12" xfId="0" applyFont="1" applyFill="1" applyBorder="1" applyAlignment="1">
      <alignment horizontal="center" vertical="center" wrapText="1"/>
    </xf>
    <xf numFmtId="0" fontId="14" fillId="0" borderId="12" xfId="0" quotePrefix="1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65" fontId="12" fillId="3" borderId="12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right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0" borderId="12" xfId="0" quotePrefix="1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right" vertical="center"/>
    </xf>
    <xf numFmtId="1" fontId="12" fillId="3" borderId="12" xfId="0" applyNumberFormat="1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right" vertical="center"/>
    </xf>
    <xf numFmtId="0" fontId="11" fillId="0" borderId="12" xfId="0" applyNumberFormat="1" applyFont="1" applyFill="1" applyBorder="1" applyAlignment="1">
      <alignment horizontal="center" vertical="center"/>
    </xf>
    <xf numFmtId="2" fontId="12" fillId="3" borderId="1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vertical="center"/>
    </xf>
    <xf numFmtId="0" fontId="13" fillId="0" borderId="12" xfId="0" applyNumberFormat="1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vertical="center"/>
    </xf>
    <xf numFmtId="1" fontId="13" fillId="0" borderId="12" xfId="0" applyNumberFormat="1" applyFont="1" applyBorder="1" applyAlignment="1">
      <alignment vertical="center"/>
    </xf>
    <xf numFmtId="1" fontId="13" fillId="0" borderId="12" xfId="0" applyNumberFormat="1" applyFont="1" applyFill="1" applyBorder="1" applyAlignment="1">
      <alignment horizontal="right" vertical="center" wrapText="1"/>
    </xf>
    <xf numFmtId="1" fontId="12" fillId="0" borderId="12" xfId="0" applyNumberFormat="1" applyFont="1" applyBorder="1" applyAlignment="1">
      <alignment vertical="center"/>
    </xf>
    <xf numFmtId="168" fontId="12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/>
    <xf numFmtId="0" fontId="1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165" fontId="13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 applyProtection="1">
      <alignment horizontal="left" vertical="center" wrapText="1"/>
      <protection locked="0"/>
    </xf>
    <xf numFmtId="165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/>
    <xf numFmtId="0" fontId="11" fillId="0" borderId="0" xfId="0" applyFont="1" applyBorder="1"/>
    <xf numFmtId="0" fontId="13" fillId="0" borderId="12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167" fontId="12" fillId="0" borderId="12" xfId="0" applyNumberFormat="1" applyFont="1" applyFill="1" applyBorder="1" applyAlignment="1">
      <alignment horizontal="right"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168" fontId="12" fillId="0" borderId="0" xfId="0" quotePrefix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7" fillId="0" borderId="0" xfId="0" applyFont="1" applyFill="1"/>
    <xf numFmtId="0" fontId="14" fillId="0" borderId="13" xfId="0" quotePrefix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right"/>
    </xf>
    <xf numFmtId="0" fontId="19" fillId="0" borderId="12" xfId="0" applyFont="1" applyFill="1" applyBorder="1" applyAlignment="1">
      <alignment wrapText="1"/>
    </xf>
    <xf numFmtId="0" fontId="13" fillId="0" borderId="15" xfId="1" applyFont="1" applyFill="1" applyBorder="1" applyAlignment="1">
      <alignment horizontal="left" vertical="center" wrapText="1"/>
    </xf>
    <xf numFmtId="0" fontId="14" fillId="0" borderId="15" xfId="0" quotePrefix="1" applyFont="1" applyFill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right"/>
    </xf>
    <xf numFmtId="165" fontId="13" fillId="0" borderId="12" xfId="0" applyNumberFormat="1" applyFont="1" applyFill="1" applyBorder="1" applyAlignment="1">
      <alignment horizontal="right"/>
    </xf>
    <xf numFmtId="164" fontId="12" fillId="0" borderId="12" xfId="0" applyNumberFormat="1" applyFont="1" applyFill="1" applyBorder="1" applyAlignment="1">
      <alignment horizontal="right"/>
    </xf>
    <xf numFmtId="164" fontId="12" fillId="0" borderId="12" xfId="0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0" xfId="0" applyFill="1" applyBorder="1"/>
    <xf numFmtId="0" fontId="25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22" fillId="0" borderId="0" xfId="0" applyFont="1" applyFill="1" applyAlignment="1">
      <alignment horizontal="left" wrapText="1"/>
    </xf>
    <xf numFmtId="2" fontId="21" fillId="3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168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horizontal="left" vertical="center" wrapText="1"/>
    </xf>
    <xf numFmtId="168" fontId="12" fillId="0" borderId="0" xfId="0" quotePrefix="1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/>
    </xf>
    <xf numFmtId="0" fontId="6" fillId="0" borderId="0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 shrinkToFi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168" fontId="12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v-viktoria\&#1086;&#1073;&#1084;&#1077;&#1085;\&#1055;&#1086;&#1096;&#1090;&#1072;\(&#1043;&#1086;&#1083;&#1073;&#1091;&#1093;%20&#1089;&#1082;&#1080;&#1076;&#1072;&#1108;\&#1060;&#1030;&#1053;%20&#1047;&#1042;&#1030;&#1058;%20&#1060;&#1030;&#1053;%20&#1055;&#1051;&#1040;&#1053;\2026\&#1092;&#1110;&#1085;&#1087;&#1083;&#1072;&#1085;%20&#1046;&#1050;&#1054;%202%20&#1085;&#1072;%20%202026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)))&#1060;&#1040;&#1049;&#1051;&#1048;%20&#1043;&#1086;&#1083;&#1041;&#1091;&#1093;&#1072;%20&#1079;%202019/&#1060;&#1030;&#1053;%20&#1047;&#1042;&#1030;&#1058;%20&#1060;&#1030;&#1053;%20&#1055;&#1051;&#1040;&#1053;/2026/&#1087;&#1083;&#1072;&#1085;_2026/&#1092;&#1110;&#1085;&#1087;&#1083;&#1072;&#1085;%20&#1046;&#1050;&#1054;%20%20&#1085;&#1072;%20%202026%20&#1088;&#1110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ий лист"/>
      <sheetName val="І Фін результат"/>
      <sheetName val="ІІ Розр з бюджетом"/>
      <sheetName val="ІІІ Рух грошових коштів"/>
      <sheetName val="ІV Кап інвестиції"/>
      <sheetName val="V ОП"/>
      <sheetName val="VI Статутний капітал"/>
    </sheetNames>
    <sheetDataSet>
      <sheetData sheetId="0"/>
      <sheetData sheetId="1"/>
      <sheetData sheetId="2"/>
      <sheetData sheetId="3"/>
      <sheetData sheetId="4"/>
      <sheetData sheetId="5">
        <row r="11">
          <cell r="D11">
            <v>484</v>
          </cell>
        </row>
        <row r="12">
          <cell r="D12">
            <v>4695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ий лист"/>
      <sheetName val="І Фін результат"/>
      <sheetName val="ІІ Розр з бюджетом"/>
      <sheetName val="ІІІ Рух грошових коштів"/>
      <sheetName val="ІV Кап інвестиції"/>
      <sheetName val="V ОП"/>
      <sheetName val="VI Статутний капітал"/>
    </sheetNames>
    <sheetDataSet>
      <sheetData sheetId="0"/>
      <sheetData sheetId="1">
        <row r="68">
          <cell r="E68">
            <v>1687</v>
          </cell>
        </row>
        <row r="106">
          <cell r="E106">
            <v>4315.96</v>
          </cell>
          <cell r="F106">
            <v>1079</v>
          </cell>
          <cell r="G106">
            <v>1079</v>
          </cell>
          <cell r="H106">
            <v>1079</v>
          </cell>
          <cell r="I106">
            <v>1079</v>
          </cell>
        </row>
      </sheetData>
      <sheetData sheetId="2">
        <row r="19">
          <cell r="E19">
            <v>4800</v>
          </cell>
          <cell r="F19">
            <v>1200</v>
          </cell>
          <cell r="G19">
            <v>1200</v>
          </cell>
          <cell r="H19">
            <v>1200</v>
          </cell>
          <cell r="I19">
            <v>1200</v>
          </cell>
        </row>
        <row r="24">
          <cell r="E24">
            <v>980.90000000000009</v>
          </cell>
          <cell r="F24">
            <v>245.22500000000002</v>
          </cell>
          <cell r="G24">
            <v>245</v>
          </cell>
          <cell r="H24">
            <v>245</v>
          </cell>
          <cell r="I24">
            <v>246</v>
          </cell>
        </row>
        <row r="26">
          <cell r="E26">
            <v>3531.24</v>
          </cell>
          <cell r="F26">
            <v>882.81</v>
          </cell>
          <cell r="G26">
            <v>883</v>
          </cell>
          <cell r="H26">
            <v>883</v>
          </cell>
          <cell r="I26">
            <v>882</v>
          </cell>
        </row>
        <row r="27">
          <cell r="E27">
            <v>5</v>
          </cell>
          <cell r="F27">
            <v>2</v>
          </cell>
          <cell r="G27">
            <v>1</v>
          </cell>
          <cell r="H27">
            <v>1</v>
          </cell>
          <cell r="I27">
            <v>1</v>
          </cell>
        </row>
        <row r="28">
          <cell r="E28">
            <v>385</v>
          </cell>
          <cell r="F28">
            <v>96.25</v>
          </cell>
          <cell r="G28">
            <v>96</v>
          </cell>
          <cell r="H28">
            <v>96</v>
          </cell>
          <cell r="I28">
            <v>97</v>
          </cell>
        </row>
        <row r="30">
          <cell r="E30">
            <v>784</v>
          </cell>
          <cell r="F30">
            <v>196</v>
          </cell>
          <cell r="G30">
            <v>196</v>
          </cell>
          <cell r="H30">
            <v>196</v>
          </cell>
          <cell r="I30">
            <v>196</v>
          </cell>
        </row>
        <row r="32">
          <cell r="E32">
            <v>54</v>
          </cell>
          <cell r="F32">
            <v>14</v>
          </cell>
          <cell r="G32">
            <v>13</v>
          </cell>
          <cell r="H32">
            <v>14</v>
          </cell>
          <cell r="I32">
            <v>13</v>
          </cell>
        </row>
        <row r="33">
          <cell r="F33">
            <v>100</v>
          </cell>
        </row>
        <row r="34">
          <cell r="E34">
            <v>272</v>
          </cell>
          <cell r="F34">
            <v>68</v>
          </cell>
          <cell r="G34">
            <v>68</v>
          </cell>
          <cell r="H34">
            <v>68</v>
          </cell>
          <cell r="I34">
            <v>68</v>
          </cell>
        </row>
      </sheetData>
      <sheetData sheetId="3">
        <row r="55">
          <cell r="E55">
            <v>9157</v>
          </cell>
        </row>
      </sheetData>
      <sheetData sheetId="4"/>
      <sheetData sheetId="5">
        <row r="10">
          <cell r="D10">
            <v>19618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opLeftCell="B16" workbookViewId="0">
      <selection activeCell="J6" sqref="J6"/>
    </sheetView>
  </sheetViews>
  <sheetFormatPr defaultRowHeight="15.75"/>
  <cols>
    <col min="1" max="1" width="6.42578125" style="1" hidden="1" customWidth="1"/>
    <col min="2" max="2" width="26.7109375" style="1" customWidth="1"/>
    <col min="3" max="5" width="9.5703125" style="1" customWidth="1"/>
    <col min="6" max="6" width="12" style="1" bestFit="1" customWidth="1"/>
    <col min="7" max="7" width="6.140625" style="1" bestFit="1" customWidth="1"/>
    <col min="8" max="8" width="15.28515625" style="1" customWidth="1"/>
    <col min="9" max="16384" width="9.140625" style="1"/>
  </cols>
  <sheetData>
    <row r="1" spans="2:10" customFormat="1" ht="18.75" customHeight="1">
      <c r="B1" s="2"/>
      <c r="E1" s="204" t="s">
        <v>326</v>
      </c>
      <c r="F1" s="205"/>
      <c r="G1" s="205"/>
      <c r="H1" s="205"/>
    </row>
    <row r="2" spans="2:10" customFormat="1" ht="18.75">
      <c r="D2" s="206"/>
      <c r="E2" s="204" t="s">
        <v>0</v>
      </c>
      <c r="F2" s="205"/>
      <c r="G2" s="205"/>
      <c r="H2" s="205"/>
      <c r="I2" s="207"/>
      <c r="J2" s="207"/>
    </row>
    <row r="3" spans="2:10" customFormat="1" ht="18.75">
      <c r="B3" s="208"/>
      <c r="E3" s="204" t="s">
        <v>330</v>
      </c>
      <c r="F3" s="205"/>
      <c r="G3" s="205"/>
      <c r="H3" s="205"/>
    </row>
    <row r="4" spans="2:10" customFormat="1" ht="18.75">
      <c r="B4" s="208"/>
      <c r="E4" s="204" t="s">
        <v>327</v>
      </c>
      <c r="F4" s="205"/>
      <c r="G4" s="205"/>
      <c r="H4" s="205"/>
    </row>
    <row r="5" spans="2:10" customFormat="1" ht="18.75">
      <c r="B5" s="208"/>
      <c r="E5" s="204" t="s">
        <v>328</v>
      </c>
      <c r="F5" s="205"/>
      <c r="G5" s="205"/>
      <c r="H5" s="205"/>
    </row>
    <row r="6" spans="2:10" customFormat="1" ht="18.75">
      <c r="B6" s="208"/>
      <c r="E6" s="204" t="s">
        <v>331</v>
      </c>
      <c r="F6" s="205"/>
      <c r="G6" s="205"/>
      <c r="H6" s="205"/>
    </row>
    <row r="7" spans="2:10" customFormat="1" ht="73.5" customHeight="1">
      <c r="B7" s="208"/>
      <c r="E7" s="211" t="s">
        <v>329</v>
      </c>
      <c r="F7" s="211"/>
      <c r="G7" s="211"/>
      <c r="H7" s="211"/>
    </row>
    <row r="8" spans="2:10">
      <c r="B8" s="2"/>
    </row>
    <row r="9" spans="2:10" ht="73.5" customHeight="1">
      <c r="B9" s="214" t="s">
        <v>1</v>
      </c>
      <c r="C9" s="214"/>
      <c r="D9" s="214"/>
      <c r="E9" s="214"/>
      <c r="F9" s="214"/>
      <c r="G9" s="214"/>
      <c r="H9" s="214"/>
    </row>
    <row r="10" spans="2:10" ht="16.5" thickBot="1">
      <c r="B10" s="2"/>
    </row>
    <row r="11" spans="2:10">
      <c r="B11" s="3"/>
      <c r="C11" s="3"/>
      <c r="D11" s="4"/>
      <c r="E11" s="4"/>
      <c r="F11" s="4"/>
      <c r="G11" s="5" t="s">
        <v>2</v>
      </c>
      <c r="H11" s="6"/>
    </row>
    <row r="12" spans="2:10" ht="16.5" thickBot="1">
      <c r="B12" s="7"/>
      <c r="C12" s="2"/>
      <c r="D12" s="2"/>
      <c r="E12" s="2"/>
      <c r="F12" s="3" t="s">
        <v>3</v>
      </c>
      <c r="G12" s="8"/>
      <c r="H12" s="9">
        <v>2026</v>
      </c>
    </row>
    <row r="13" spans="2:10" ht="76.5" customHeight="1" thickBot="1">
      <c r="B13" s="10" t="s">
        <v>4</v>
      </c>
      <c r="C13" s="215" t="s">
        <v>5</v>
      </c>
      <c r="D13" s="215"/>
      <c r="E13" s="215"/>
      <c r="F13" s="11" t="s">
        <v>6</v>
      </c>
      <c r="G13" s="216">
        <v>31345419</v>
      </c>
      <c r="H13" s="217"/>
    </row>
    <row r="14" spans="2:10" ht="32.25" thickBot="1">
      <c r="B14" s="12" t="s">
        <v>7</v>
      </c>
      <c r="C14" s="209" t="s">
        <v>8</v>
      </c>
      <c r="D14" s="209"/>
      <c r="E14" s="209"/>
      <c r="F14" s="13" t="s">
        <v>9</v>
      </c>
      <c r="G14" s="14">
        <v>150</v>
      </c>
      <c r="H14" s="15"/>
    </row>
    <row r="15" spans="2:10" ht="16.5" thickBot="1">
      <c r="B15" s="12" t="s">
        <v>10</v>
      </c>
      <c r="C15" s="209"/>
      <c r="D15" s="209"/>
      <c r="E15" s="209"/>
      <c r="F15" s="13" t="s">
        <v>11</v>
      </c>
      <c r="G15" s="14" t="s">
        <v>12</v>
      </c>
      <c r="H15" s="15"/>
    </row>
    <row r="16" spans="2:10" ht="32.25" thickBot="1">
      <c r="B16" s="12" t="s">
        <v>13</v>
      </c>
      <c r="C16" s="209"/>
      <c r="D16" s="209"/>
      <c r="E16" s="209"/>
      <c r="F16" s="13" t="s">
        <v>14</v>
      </c>
      <c r="G16" s="14" t="s">
        <v>15</v>
      </c>
      <c r="H16" s="15"/>
    </row>
    <row r="17" spans="2:8" ht="32.25" thickBot="1">
      <c r="B17" s="12" t="s">
        <v>16</v>
      </c>
      <c r="C17" s="16"/>
      <c r="D17" s="16"/>
      <c r="E17" s="16"/>
      <c r="F17" s="13"/>
      <c r="G17" s="13"/>
      <c r="H17" s="11"/>
    </row>
    <row r="18" spans="2:8" ht="16.5" thickBot="1">
      <c r="B18" s="12" t="s">
        <v>17</v>
      </c>
      <c r="C18" s="209" t="s">
        <v>18</v>
      </c>
      <c r="D18" s="209"/>
      <c r="E18" s="209"/>
      <c r="F18" s="13"/>
      <c r="G18" s="13"/>
      <c r="H18" s="11"/>
    </row>
    <row r="19" spans="2:8" ht="16.5" thickBot="1">
      <c r="B19" s="12" t="s">
        <v>19</v>
      </c>
      <c r="C19" s="212">
        <v>101.5</v>
      </c>
      <c r="D19" s="212"/>
      <c r="E19" s="212"/>
      <c r="F19" s="16"/>
      <c r="G19" s="13"/>
      <c r="H19" s="11"/>
    </row>
    <row r="20" spans="2:8" ht="16.5" thickBot="1">
      <c r="B20" s="12" t="s">
        <v>20</v>
      </c>
      <c r="C20" s="192" t="s">
        <v>325</v>
      </c>
      <c r="D20" s="13"/>
      <c r="E20" s="13"/>
      <c r="F20" s="13"/>
      <c r="G20" s="13"/>
      <c r="H20" s="11"/>
    </row>
    <row r="21" spans="2:8" ht="16.5" thickBot="1">
      <c r="B21" s="12" t="s">
        <v>21</v>
      </c>
      <c r="C21" s="213" t="s">
        <v>22</v>
      </c>
      <c r="D21" s="213"/>
      <c r="E21" s="213"/>
      <c r="F21" s="213"/>
      <c r="G21" s="17"/>
      <c r="H21" s="18"/>
    </row>
    <row r="22" spans="2:8">
      <c r="C22" s="17"/>
      <c r="D22" s="17"/>
      <c r="E22" s="17"/>
      <c r="F22" s="17"/>
      <c r="G22" s="17"/>
      <c r="H22" s="17"/>
    </row>
    <row r="23" spans="2:8">
      <c r="B23" s="3" t="s">
        <v>23</v>
      </c>
      <c r="D23" s="210" t="s">
        <v>24</v>
      </c>
      <c r="E23" s="210"/>
      <c r="F23" s="210"/>
      <c r="G23" s="210"/>
      <c r="H23" s="2"/>
    </row>
    <row r="24" spans="2:8">
      <c r="B24" s="2"/>
      <c r="C24" s="2"/>
      <c r="D24" s="2"/>
      <c r="E24" s="2"/>
      <c r="F24" s="3"/>
      <c r="G24" s="2"/>
      <c r="H24" s="2"/>
    </row>
    <row r="25" spans="2:8">
      <c r="B25" s="19"/>
      <c r="C25" s="19"/>
      <c r="D25" s="19"/>
      <c r="E25" s="19"/>
      <c r="F25" s="19"/>
      <c r="G25" s="19"/>
      <c r="H25" s="19"/>
    </row>
    <row r="26" spans="2:8">
      <c r="B26" s="20"/>
    </row>
    <row r="27" spans="2:8">
      <c r="B27" s="21"/>
    </row>
    <row r="28" spans="2:8">
      <c r="B28" s="21"/>
    </row>
    <row r="29" spans="2:8">
      <c r="B29" s="21"/>
    </row>
    <row r="30" spans="2:8">
      <c r="B30" s="21"/>
    </row>
    <row r="31" spans="2:8">
      <c r="B31" s="21"/>
    </row>
    <row r="32" spans="2:8">
      <c r="B32" s="21"/>
    </row>
    <row r="33" spans="2:2">
      <c r="B33" s="21"/>
    </row>
  </sheetData>
  <mergeCells count="11">
    <mergeCell ref="G13:H13"/>
    <mergeCell ref="C14:E14"/>
    <mergeCell ref="D23:G23"/>
    <mergeCell ref="E7:H7"/>
    <mergeCell ref="C16:E16"/>
    <mergeCell ref="C18:E18"/>
    <mergeCell ref="C19:E19"/>
    <mergeCell ref="C21:F21"/>
    <mergeCell ref="C15:E15"/>
    <mergeCell ref="B9:H9"/>
    <mergeCell ref="C13:E13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19"/>
  <sheetViews>
    <sheetView workbookViewId="0">
      <selection activeCell="A3" sqref="A3:I3"/>
    </sheetView>
  </sheetViews>
  <sheetFormatPr defaultColWidth="10.42578125" defaultRowHeight="15.75"/>
  <cols>
    <col min="1" max="1" width="35.7109375" style="24" customWidth="1"/>
    <col min="2" max="2" width="6.7109375" style="24" customWidth="1"/>
    <col min="3" max="3" width="10" style="24" customWidth="1"/>
    <col min="4" max="4" width="11.28515625" style="24" customWidth="1"/>
    <col min="5" max="5" width="10.42578125" style="24" customWidth="1"/>
    <col min="6" max="7" width="9.5703125" style="24" customWidth="1"/>
    <col min="8" max="8" width="10.5703125" style="24" customWidth="1"/>
    <col min="9" max="9" width="9.5703125" style="24" customWidth="1"/>
    <col min="10" max="10" width="8.85546875" style="22" hidden="1" customWidth="1"/>
    <col min="11" max="11" width="8.85546875" style="23" hidden="1" customWidth="1"/>
    <col min="12" max="12" width="0" style="24" hidden="1" customWidth="1"/>
    <col min="13" max="13" width="14.85546875" style="24" hidden="1" customWidth="1"/>
    <col min="14" max="14" width="9.7109375" style="55" hidden="1" customWidth="1"/>
    <col min="15" max="15" width="9.7109375" style="24" bestFit="1" customWidth="1"/>
    <col min="16" max="247" width="9.140625" style="24" customWidth="1"/>
    <col min="248" max="248" width="35.7109375" style="24" customWidth="1"/>
    <col min="249" max="249" width="6.7109375" style="24" customWidth="1"/>
    <col min="250" max="252" width="10.42578125" style="24" customWidth="1"/>
    <col min="253" max="253" width="9.28515625" style="24" bestFit="1" customWidth="1"/>
    <col min="254" max="254" width="10.42578125" style="24" bestFit="1"/>
    <col min="255" max="16384" width="10.42578125" style="24"/>
  </cols>
  <sheetData>
    <row r="1" spans="1:14" ht="18" customHeight="1">
      <c r="A1" s="218" t="s">
        <v>25</v>
      </c>
      <c r="B1" s="218"/>
      <c r="C1" s="218"/>
      <c r="D1" s="218"/>
      <c r="E1" s="218"/>
      <c r="F1" s="218"/>
      <c r="G1" s="218"/>
      <c r="H1" s="218"/>
      <c r="I1" s="218"/>
    </row>
    <row r="2" spans="1:14">
      <c r="G2" s="219" t="s">
        <v>26</v>
      </c>
      <c r="H2" s="219"/>
      <c r="I2" s="219"/>
      <c r="J2" s="26"/>
      <c r="K2" s="27"/>
    </row>
    <row r="3" spans="1:14">
      <c r="A3" s="220" t="s">
        <v>27</v>
      </c>
      <c r="B3" s="220"/>
      <c r="C3" s="220"/>
      <c r="D3" s="220"/>
      <c r="E3" s="220"/>
      <c r="F3" s="220"/>
      <c r="G3" s="220"/>
      <c r="H3" s="220"/>
      <c r="I3" s="220"/>
      <c r="J3" s="28"/>
      <c r="K3" s="29"/>
    </row>
    <row r="4" spans="1:14" ht="7.5" customHeight="1">
      <c r="A4" s="30"/>
      <c r="B4" s="31"/>
      <c r="C4" s="30"/>
      <c r="D4" s="30"/>
      <c r="E4" s="31"/>
      <c r="F4" s="30"/>
      <c r="G4" s="30"/>
      <c r="H4" s="30"/>
      <c r="I4" s="30"/>
      <c r="J4" s="28"/>
      <c r="K4" s="29"/>
    </row>
    <row r="5" spans="1:14" ht="30" customHeight="1">
      <c r="A5" s="221" t="s">
        <v>28</v>
      </c>
      <c r="B5" s="222" t="s">
        <v>29</v>
      </c>
      <c r="C5" s="223" t="s">
        <v>30</v>
      </c>
      <c r="D5" s="223" t="s">
        <v>31</v>
      </c>
      <c r="E5" s="225" t="s">
        <v>32</v>
      </c>
      <c r="F5" s="222" t="s">
        <v>33</v>
      </c>
      <c r="G5" s="222"/>
      <c r="H5" s="222"/>
      <c r="I5" s="222"/>
      <c r="J5" s="32"/>
      <c r="K5" s="33"/>
    </row>
    <row r="6" spans="1:14" ht="30" customHeight="1">
      <c r="A6" s="221"/>
      <c r="B6" s="222"/>
      <c r="C6" s="224"/>
      <c r="D6" s="224"/>
      <c r="E6" s="226"/>
      <c r="F6" s="34" t="s">
        <v>34</v>
      </c>
      <c r="G6" s="34" t="s">
        <v>35</v>
      </c>
      <c r="H6" s="34" t="s">
        <v>36</v>
      </c>
      <c r="I6" s="34" t="s">
        <v>37</v>
      </c>
      <c r="J6" s="35"/>
      <c r="K6" s="36"/>
    </row>
    <row r="7" spans="1:14" s="25" customFormat="1" ht="12.75">
      <c r="A7" s="37">
        <v>1</v>
      </c>
      <c r="B7" s="38">
        <v>2</v>
      </c>
      <c r="C7" s="38">
        <v>3</v>
      </c>
      <c r="D7" s="38">
        <v>4</v>
      </c>
      <c r="E7" s="38">
        <v>6</v>
      </c>
      <c r="F7" s="38">
        <v>7</v>
      </c>
      <c r="G7" s="38">
        <v>8</v>
      </c>
      <c r="H7" s="38">
        <v>9</v>
      </c>
      <c r="I7" s="38">
        <v>10</v>
      </c>
      <c r="J7" s="32"/>
      <c r="K7" s="33"/>
      <c r="N7" s="186"/>
    </row>
    <row r="8" spans="1:14" ht="25.5">
      <c r="A8" s="39" t="s">
        <v>38</v>
      </c>
      <c r="B8" s="40"/>
      <c r="C8" s="41"/>
      <c r="D8" s="42"/>
      <c r="E8" s="43"/>
      <c r="F8" s="43"/>
      <c r="G8" s="43"/>
      <c r="H8" s="43"/>
      <c r="I8" s="43"/>
      <c r="J8" s="44" t="s">
        <v>39</v>
      </c>
      <c r="K8" s="45"/>
    </row>
    <row r="9" spans="1:14" ht="28.5">
      <c r="A9" s="39" t="s">
        <v>40</v>
      </c>
      <c r="B9" s="53">
        <v>1000</v>
      </c>
      <c r="C9" s="54">
        <v>30186</v>
      </c>
      <c r="D9" s="54">
        <v>31296</v>
      </c>
      <c r="E9" s="54">
        <v>31296</v>
      </c>
      <c r="F9" s="54">
        <f>E9/4</f>
        <v>7824</v>
      </c>
      <c r="G9" s="54">
        <v>7824</v>
      </c>
      <c r="H9" s="54">
        <v>7824</v>
      </c>
      <c r="I9" s="54">
        <v>7824</v>
      </c>
      <c r="J9" s="47">
        <f>E9-F9-G9-H9-I9</f>
        <v>0</v>
      </c>
      <c r="K9" s="45">
        <f>E9/E99*100</f>
        <v>68.345308029962212</v>
      </c>
      <c r="M9" s="48">
        <f>E9-I9-H9-G9-F9</f>
        <v>0</v>
      </c>
    </row>
    <row r="10" spans="1:14" ht="27.75" customHeight="1">
      <c r="A10" s="39" t="s">
        <v>41</v>
      </c>
      <c r="B10" s="53">
        <v>1010</v>
      </c>
      <c r="C10" s="54">
        <v>24008</v>
      </c>
      <c r="D10" s="54">
        <v>24071.760000000002</v>
      </c>
      <c r="E10" s="54">
        <f>SUM(E11:E23)-E16</f>
        <v>24071.760000000002</v>
      </c>
      <c r="F10" s="54">
        <f>SUM(F11:F23)-F16</f>
        <v>5881.5</v>
      </c>
      <c r="G10" s="54">
        <f>SUM(G11:G23)-G16</f>
        <v>6154.5</v>
      </c>
      <c r="H10" s="54">
        <f>SUM(H11:H23)-H16</f>
        <v>6154.5</v>
      </c>
      <c r="I10" s="54">
        <f>SUM(I11:I23)-I16</f>
        <v>5881.5</v>
      </c>
      <c r="J10" s="47">
        <f t="shared" ref="J10:J73" si="0">E10-F10-G10-H10-I10</f>
        <v>-0.23999999999796273</v>
      </c>
      <c r="K10" s="45">
        <f>E10/E100*100</f>
        <v>54.439884623926382</v>
      </c>
      <c r="M10" s="48">
        <f t="shared" ref="M10:M73" si="1">E10-I10-H10-G10-F10</f>
        <v>-0.23999999999796273</v>
      </c>
    </row>
    <row r="11" spans="1:14" ht="28.5" customHeight="1">
      <c r="A11" s="49" t="s">
        <v>42</v>
      </c>
      <c r="B11" s="38">
        <v>1011</v>
      </c>
      <c r="C11" s="50">
        <v>985</v>
      </c>
      <c r="D11" s="50">
        <v>896</v>
      </c>
      <c r="E11" s="50">
        <v>896</v>
      </c>
      <c r="F11" s="50">
        <v>224</v>
      </c>
      <c r="G11" s="50">
        <v>224</v>
      </c>
      <c r="H11" s="50">
        <v>224</v>
      </c>
      <c r="I11" s="50">
        <v>224</v>
      </c>
      <c r="J11" s="47">
        <f t="shared" si="0"/>
        <v>0</v>
      </c>
      <c r="K11" s="45"/>
      <c r="M11" s="48">
        <f t="shared" si="1"/>
        <v>0</v>
      </c>
    </row>
    <row r="12" spans="1:14">
      <c r="A12" s="49" t="s">
        <v>43</v>
      </c>
      <c r="B12" s="38">
        <v>1012</v>
      </c>
      <c r="C12" s="50">
        <v>9</v>
      </c>
      <c r="D12" s="50">
        <v>8</v>
      </c>
      <c r="E12" s="50">
        <v>8</v>
      </c>
      <c r="F12" s="60">
        <v>2</v>
      </c>
      <c r="G12" s="60">
        <v>2</v>
      </c>
      <c r="H12" s="60">
        <v>2</v>
      </c>
      <c r="I12" s="60">
        <v>2</v>
      </c>
      <c r="J12" s="47">
        <f t="shared" si="0"/>
        <v>0</v>
      </c>
      <c r="K12" s="45"/>
      <c r="M12" s="48">
        <f t="shared" si="1"/>
        <v>0</v>
      </c>
    </row>
    <row r="13" spans="1:14">
      <c r="A13" s="49" t="s">
        <v>44</v>
      </c>
      <c r="B13" s="38">
        <v>1013</v>
      </c>
      <c r="C13" s="50">
        <v>1077</v>
      </c>
      <c r="D13" s="50">
        <v>996</v>
      </c>
      <c r="E13" s="50">
        <v>996</v>
      </c>
      <c r="F13" s="50">
        <v>249</v>
      </c>
      <c r="G13" s="50">
        <v>249</v>
      </c>
      <c r="H13" s="50">
        <v>249</v>
      </c>
      <c r="I13" s="50">
        <v>249</v>
      </c>
      <c r="J13" s="47">
        <f t="shared" si="0"/>
        <v>0</v>
      </c>
      <c r="K13" s="45"/>
      <c r="M13" s="48">
        <f t="shared" si="1"/>
        <v>0</v>
      </c>
    </row>
    <row r="14" spans="1:14">
      <c r="A14" s="49" t="s">
        <v>45</v>
      </c>
      <c r="B14" s="38">
        <v>1014</v>
      </c>
      <c r="C14" s="50">
        <v>6342</v>
      </c>
      <c r="D14" s="50">
        <v>6608</v>
      </c>
      <c r="E14" s="50">
        <f>6808-200</f>
        <v>6608</v>
      </c>
      <c r="F14" s="60">
        <v>1652</v>
      </c>
      <c r="G14" s="60">
        <v>1652</v>
      </c>
      <c r="H14" s="60">
        <v>1652</v>
      </c>
      <c r="I14" s="60">
        <v>1652</v>
      </c>
      <c r="J14" s="47">
        <f t="shared" si="0"/>
        <v>0</v>
      </c>
      <c r="K14" s="45"/>
      <c r="M14" s="48">
        <f t="shared" si="1"/>
        <v>0</v>
      </c>
    </row>
    <row r="15" spans="1:14">
      <c r="A15" s="49" t="s">
        <v>46</v>
      </c>
      <c r="B15" s="38">
        <v>1015</v>
      </c>
      <c r="C15" s="50">
        <v>1309</v>
      </c>
      <c r="D15" s="50">
        <v>1453.76</v>
      </c>
      <c r="E15" s="50">
        <f>E14*0.22</f>
        <v>1453.76</v>
      </c>
      <c r="F15" s="50">
        <f>1454/4</f>
        <v>363.5</v>
      </c>
      <c r="G15" s="50">
        <f>1454/4</f>
        <v>363.5</v>
      </c>
      <c r="H15" s="50">
        <f>1454/4</f>
        <v>363.5</v>
      </c>
      <c r="I15" s="50">
        <f>1454/4</f>
        <v>363.5</v>
      </c>
      <c r="J15" s="47">
        <f t="shared" si="0"/>
        <v>-0.24000000000000909</v>
      </c>
      <c r="K15" s="45"/>
      <c r="M15" s="48">
        <f t="shared" si="1"/>
        <v>-0.24000000000000909</v>
      </c>
    </row>
    <row r="16" spans="1:14" ht="66" customHeight="1">
      <c r="A16" s="49" t="s">
        <v>47</v>
      </c>
      <c r="B16" s="38">
        <v>1016</v>
      </c>
      <c r="C16" s="50">
        <v>2172</v>
      </c>
      <c r="D16" s="50">
        <v>1534</v>
      </c>
      <c r="E16" s="50">
        <f>E17+E18</f>
        <v>1534</v>
      </c>
      <c r="F16" s="50">
        <f>F17+F18</f>
        <v>247</v>
      </c>
      <c r="G16" s="50">
        <f>G17+G18</f>
        <v>520</v>
      </c>
      <c r="H16" s="50">
        <f>H17+H18</f>
        <v>520</v>
      </c>
      <c r="I16" s="50">
        <f>I17+I18</f>
        <v>247</v>
      </c>
      <c r="J16" s="47">
        <f t="shared" si="0"/>
        <v>0</v>
      </c>
      <c r="K16" s="45"/>
      <c r="M16" s="48">
        <f t="shared" si="1"/>
        <v>0</v>
      </c>
    </row>
    <row r="17" spans="1:15">
      <c r="A17" s="49" t="s">
        <v>48</v>
      </c>
      <c r="B17" s="38" t="s">
        <v>49</v>
      </c>
      <c r="C17" s="50">
        <v>1085</v>
      </c>
      <c r="D17" s="50">
        <v>988</v>
      </c>
      <c r="E17" s="50">
        <v>988</v>
      </c>
      <c r="F17" s="50">
        <v>247</v>
      </c>
      <c r="G17" s="50">
        <v>247</v>
      </c>
      <c r="H17" s="50">
        <v>247</v>
      </c>
      <c r="I17" s="50">
        <v>247</v>
      </c>
      <c r="J17" s="47">
        <f t="shared" si="0"/>
        <v>0</v>
      </c>
      <c r="K17" s="45"/>
      <c r="M17" s="48">
        <f t="shared" si="1"/>
        <v>0</v>
      </c>
    </row>
    <row r="18" spans="1:15" ht="30">
      <c r="A18" s="49" t="s">
        <v>50</v>
      </c>
      <c r="B18" s="38" t="s">
        <v>51</v>
      </c>
      <c r="C18" s="50">
        <v>1087</v>
      </c>
      <c r="D18" s="50">
        <v>546</v>
      </c>
      <c r="E18" s="50">
        <v>546</v>
      </c>
      <c r="F18" s="50">
        <v>0</v>
      </c>
      <c r="G18" s="50">
        <v>273</v>
      </c>
      <c r="H18" s="50">
        <v>273</v>
      </c>
      <c r="I18" s="50">
        <v>0</v>
      </c>
      <c r="J18" s="47">
        <f t="shared" si="0"/>
        <v>0</v>
      </c>
      <c r="K18" s="45"/>
      <c r="M18" s="48">
        <f t="shared" si="1"/>
        <v>0</v>
      </c>
      <c r="O18" s="48"/>
    </row>
    <row r="19" spans="1:15" ht="30">
      <c r="A19" s="49" t="s">
        <v>52</v>
      </c>
      <c r="B19" s="38">
        <v>1017</v>
      </c>
      <c r="C19" s="50">
        <v>38</v>
      </c>
      <c r="D19" s="50">
        <v>40</v>
      </c>
      <c r="E19" s="50">
        <v>40</v>
      </c>
      <c r="F19" s="50">
        <v>10</v>
      </c>
      <c r="G19" s="50">
        <v>10</v>
      </c>
      <c r="H19" s="50">
        <v>10</v>
      </c>
      <c r="I19" s="50">
        <v>10</v>
      </c>
      <c r="J19" s="47">
        <f t="shared" si="0"/>
        <v>0</v>
      </c>
      <c r="K19" s="45"/>
      <c r="M19" s="48">
        <f t="shared" si="1"/>
        <v>0</v>
      </c>
    </row>
    <row r="20" spans="1:15">
      <c r="A20" s="49" t="s">
        <v>53</v>
      </c>
      <c r="B20" s="38">
        <v>1018</v>
      </c>
      <c r="C20" s="51"/>
      <c r="D20" s="50"/>
      <c r="E20" s="50"/>
      <c r="F20" s="50"/>
      <c r="G20" s="50"/>
      <c r="H20" s="50"/>
      <c r="I20" s="50"/>
      <c r="J20" s="47">
        <f t="shared" si="0"/>
        <v>0</v>
      </c>
      <c r="K20" s="45"/>
      <c r="M20" s="48">
        <f t="shared" si="1"/>
        <v>0</v>
      </c>
    </row>
    <row r="21" spans="1:15" ht="14.25" customHeight="1">
      <c r="A21" s="52" t="s">
        <v>54</v>
      </c>
      <c r="B21" s="38">
        <v>1019</v>
      </c>
      <c r="C21" s="50">
        <v>8282</v>
      </c>
      <c r="D21" s="50">
        <v>8940</v>
      </c>
      <c r="E21" s="50">
        <f>8940</f>
        <v>8940</v>
      </c>
      <c r="F21" s="50">
        <f>E21/4</f>
        <v>2235</v>
      </c>
      <c r="G21" s="50">
        <v>2235</v>
      </c>
      <c r="H21" s="50">
        <v>2235</v>
      </c>
      <c r="I21" s="50">
        <v>2235</v>
      </c>
      <c r="J21" s="47">
        <f t="shared" si="0"/>
        <v>0</v>
      </c>
      <c r="K21" s="45"/>
      <c r="M21" s="48">
        <f t="shared" si="1"/>
        <v>0</v>
      </c>
    </row>
    <row r="22" spans="1:15" ht="15.75" customHeight="1">
      <c r="A22" s="49" t="s">
        <v>55</v>
      </c>
      <c r="B22" s="38">
        <v>1020</v>
      </c>
      <c r="C22" s="50">
        <v>3539</v>
      </c>
      <c r="D22" s="50">
        <v>3380</v>
      </c>
      <c r="E22" s="50">
        <v>3380</v>
      </c>
      <c r="F22" s="60">
        <v>845</v>
      </c>
      <c r="G22" s="61">
        <v>845</v>
      </c>
      <c r="H22" s="61">
        <v>845</v>
      </c>
      <c r="I22" s="61">
        <v>845</v>
      </c>
      <c r="J22" s="47">
        <f t="shared" si="0"/>
        <v>0</v>
      </c>
      <c r="K22" s="45"/>
      <c r="M22" s="48">
        <f t="shared" si="1"/>
        <v>0</v>
      </c>
    </row>
    <row r="23" spans="1:15" ht="30" customHeight="1">
      <c r="A23" s="49" t="s">
        <v>56</v>
      </c>
      <c r="B23" s="38">
        <v>1021</v>
      </c>
      <c r="C23" s="50">
        <v>255</v>
      </c>
      <c r="D23" s="50">
        <v>216</v>
      </c>
      <c r="E23" s="50">
        <f>127+45+16+28</f>
        <v>216</v>
      </c>
      <c r="F23" s="50">
        <v>54</v>
      </c>
      <c r="G23" s="50">
        <v>54</v>
      </c>
      <c r="H23" s="50">
        <v>54</v>
      </c>
      <c r="I23" s="50">
        <v>54</v>
      </c>
      <c r="J23" s="47">
        <f t="shared" si="0"/>
        <v>0</v>
      </c>
      <c r="K23" s="45"/>
      <c r="M23" s="48">
        <f t="shared" si="1"/>
        <v>0</v>
      </c>
    </row>
    <row r="24" spans="1:15">
      <c r="A24" s="39" t="s">
        <v>57</v>
      </c>
      <c r="B24" s="53">
        <v>1020</v>
      </c>
      <c r="C24" s="54">
        <v>6178</v>
      </c>
      <c r="D24" s="54">
        <v>7224.239999999998</v>
      </c>
      <c r="E24" s="54">
        <f>E9-E10</f>
        <v>7224.239999999998</v>
      </c>
      <c r="F24" s="54">
        <f>F9-F10</f>
        <v>1942.5</v>
      </c>
      <c r="G24" s="54">
        <f>G9-G10</f>
        <v>1669.5</v>
      </c>
      <c r="H24" s="54">
        <f>H9-H10</f>
        <v>1669.5</v>
      </c>
      <c r="I24" s="54">
        <f>I9-I10</f>
        <v>1942.5</v>
      </c>
      <c r="J24" s="47">
        <f t="shared" si="0"/>
        <v>0.23999999999796273</v>
      </c>
      <c r="K24" s="45"/>
      <c r="M24" s="48">
        <f t="shared" si="1"/>
        <v>0.23999999999796273</v>
      </c>
    </row>
    <row r="25" spans="1:15" s="55" customFormat="1">
      <c r="A25" s="39" t="s">
        <v>58</v>
      </c>
      <c r="B25" s="53">
        <v>1030</v>
      </c>
      <c r="C25" s="54">
        <v>6580</v>
      </c>
      <c r="D25" s="54">
        <v>7205.38</v>
      </c>
      <c r="E25" s="54">
        <f>SUM(E26:E47)</f>
        <v>7205.38</v>
      </c>
      <c r="F25" s="54">
        <f>SUM(F26:F47)</f>
        <v>1801.5</v>
      </c>
      <c r="G25" s="54">
        <f>SUM(G26:G47)</f>
        <v>1801.5</v>
      </c>
      <c r="H25" s="54">
        <f>SUM(H26:H47)</f>
        <v>1801.5</v>
      </c>
      <c r="I25" s="54">
        <f>SUM(I26:I47)</f>
        <v>1800.5</v>
      </c>
      <c r="J25" s="47">
        <f t="shared" si="0"/>
        <v>0.38000000000010914</v>
      </c>
      <c r="K25" s="45">
        <f>E25/E100*100</f>
        <v>16.295445612267098</v>
      </c>
      <c r="M25" s="48">
        <f t="shared" si="1"/>
        <v>0.38000000000010914</v>
      </c>
    </row>
    <row r="26" spans="1:15" ht="30">
      <c r="A26" s="49" t="s">
        <v>59</v>
      </c>
      <c r="B26" s="56">
        <v>1031</v>
      </c>
      <c r="C26" s="57">
        <v>105</v>
      </c>
      <c r="D26" s="50">
        <v>80</v>
      </c>
      <c r="E26" s="50">
        <v>80</v>
      </c>
      <c r="F26" s="50">
        <v>20</v>
      </c>
      <c r="G26" s="50">
        <v>20</v>
      </c>
      <c r="H26" s="50">
        <v>20</v>
      </c>
      <c r="I26" s="50">
        <v>20</v>
      </c>
      <c r="J26" s="47">
        <f t="shared" si="0"/>
        <v>0</v>
      </c>
      <c r="K26" s="45"/>
      <c r="M26" s="48">
        <f t="shared" si="1"/>
        <v>0</v>
      </c>
    </row>
    <row r="27" spans="1:15" ht="30">
      <c r="A27" s="49" t="s">
        <v>60</v>
      </c>
      <c r="B27" s="56">
        <v>1032</v>
      </c>
      <c r="C27" s="57"/>
      <c r="D27" s="57" t="s">
        <v>61</v>
      </c>
      <c r="E27" s="57" t="s">
        <v>61</v>
      </c>
      <c r="F27" s="57" t="s">
        <v>61</v>
      </c>
      <c r="G27" s="50"/>
      <c r="H27" s="50"/>
      <c r="I27" s="50"/>
      <c r="J27" s="47" t="e">
        <f t="shared" si="0"/>
        <v>#VALUE!</v>
      </c>
      <c r="K27" s="45"/>
      <c r="M27" s="48"/>
    </row>
    <row r="28" spans="1:15">
      <c r="A28" s="49" t="s">
        <v>62</v>
      </c>
      <c r="B28" s="56">
        <v>1033</v>
      </c>
      <c r="C28" s="57"/>
      <c r="D28" s="57" t="s">
        <v>61</v>
      </c>
      <c r="E28" s="57" t="s">
        <v>61</v>
      </c>
      <c r="F28" s="57" t="s">
        <v>61</v>
      </c>
      <c r="G28" s="50"/>
      <c r="H28" s="50"/>
      <c r="I28" s="50"/>
      <c r="J28" s="47" t="e">
        <f t="shared" si="0"/>
        <v>#VALUE!</v>
      </c>
      <c r="K28" s="45"/>
      <c r="M28" s="48"/>
    </row>
    <row r="29" spans="1:15">
      <c r="A29" s="49" t="s">
        <v>63</v>
      </c>
      <c r="B29" s="56">
        <v>1034</v>
      </c>
      <c r="C29" s="57"/>
      <c r="D29" s="50" t="s">
        <v>61</v>
      </c>
      <c r="E29" s="50" t="s">
        <v>61</v>
      </c>
      <c r="F29" s="50"/>
      <c r="G29" s="50"/>
      <c r="H29" s="50"/>
      <c r="I29" s="50"/>
      <c r="J29" s="47" t="e">
        <f t="shared" si="0"/>
        <v>#VALUE!</v>
      </c>
      <c r="K29" s="45"/>
      <c r="M29" s="48"/>
    </row>
    <row r="30" spans="1:15">
      <c r="A30" s="49" t="s">
        <v>64</v>
      </c>
      <c r="B30" s="56">
        <v>1035</v>
      </c>
      <c r="C30" s="57"/>
      <c r="D30" s="50" t="s">
        <v>61</v>
      </c>
      <c r="E30" s="50" t="s">
        <v>61</v>
      </c>
      <c r="F30" s="50"/>
      <c r="G30" s="50"/>
      <c r="H30" s="50"/>
      <c r="I30" s="50"/>
      <c r="J30" s="47" t="e">
        <f t="shared" si="0"/>
        <v>#VALUE!</v>
      </c>
      <c r="K30" s="45"/>
      <c r="M30" s="48"/>
    </row>
    <row r="31" spans="1:15">
      <c r="A31" s="49" t="s">
        <v>65</v>
      </c>
      <c r="B31" s="56">
        <v>1036</v>
      </c>
      <c r="C31" s="58">
        <v>9</v>
      </c>
      <c r="D31" s="50">
        <v>12</v>
      </c>
      <c r="E31" s="50">
        <v>12</v>
      </c>
      <c r="F31" s="50">
        <v>3</v>
      </c>
      <c r="G31" s="50">
        <v>3</v>
      </c>
      <c r="H31" s="50">
        <v>3</v>
      </c>
      <c r="I31" s="50">
        <v>3</v>
      </c>
      <c r="J31" s="47">
        <f t="shared" si="0"/>
        <v>0</v>
      </c>
      <c r="K31" s="45"/>
      <c r="M31" s="48"/>
    </row>
    <row r="32" spans="1:15">
      <c r="A32" s="49" t="s">
        <v>66</v>
      </c>
      <c r="B32" s="56">
        <v>1037</v>
      </c>
      <c r="C32" s="59">
        <v>70</v>
      </c>
      <c r="D32" s="59">
        <v>52</v>
      </c>
      <c r="E32" s="59">
        <v>52</v>
      </c>
      <c r="F32" s="50">
        <v>13</v>
      </c>
      <c r="G32" s="50">
        <v>13</v>
      </c>
      <c r="H32" s="50">
        <v>13</v>
      </c>
      <c r="I32" s="50">
        <v>13</v>
      </c>
      <c r="J32" s="47">
        <f t="shared" si="0"/>
        <v>0</v>
      </c>
      <c r="K32" s="45"/>
      <c r="M32" s="48">
        <f t="shared" si="1"/>
        <v>0</v>
      </c>
    </row>
    <row r="33" spans="1:13">
      <c r="A33" s="49" t="s">
        <v>67</v>
      </c>
      <c r="B33" s="56">
        <v>1038</v>
      </c>
      <c r="C33" s="57">
        <v>4548</v>
      </c>
      <c r="D33" s="50">
        <v>5179</v>
      </c>
      <c r="E33" s="50">
        <f>'[1]V ОП'!D11+'[1]V ОП'!D12</f>
        <v>5179</v>
      </c>
      <c r="F33" s="50">
        <f>5179/4</f>
        <v>1294.75</v>
      </c>
      <c r="G33" s="50">
        <f>5179/4</f>
        <v>1294.75</v>
      </c>
      <c r="H33" s="50">
        <f>5179/4</f>
        <v>1294.75</v>
      </c>
      <c r="I33" s="50">
        <f>5179/4</f>
        <v>1294.75</v>
      </c>
      <c r="J33" s="47">
        <f t="shared" si="0"/>
        <v>0</v>
      </c>
      <c r="K33" s="45"/>
      <c r="M33" s="48">
        <f t="shared" si="1"/>
        <v>0</v>
      </c>
    </row>
    <row r="34" spans="1:13">
      <c r="A34" s="49" t="s">
        <v>68</v>
      </c>
      <c r="B34" s="56">
        <v>1039</v>
      </c>
      <c r="C34" s="57">
        <v>1004</v>
      </c>
      <c r="D34" s="50">
        <v>1139.3800000000001</v>
      </c>
      <c r="E34" s="50">
        <f>E33*0.22</f>
        <v>1139.3800000000001</v>
      </c>
      <c r="F34" s="50">
        <f>1139/4</f>
        <v>284.75</v>
      </c>
      <c r="G34" s="50">
        <f>1139/4</f>
        <v>284.75</v>
      </c>
      <c r="H34" s="50">
        <f>1139/4</f>
        <v>284.75</v>
      </c>
      <c r="I34" s="50">
        <f>1139/4</f>
        <v>284.75</v>
      </c>
      <c r="J34" s="47">
        <f t="shared" si="0"/>
        <v>0.38000000000010914</v>
      </c>
      <c r="K34" s="45"/>
      <c r="M34" s="48">
        <f t="shared" si="1"/>
        <v>0.38000000000010914</v>
      </c>
    </row>
    <row r="35" spans="1:13" ht="45">
      <c r="A35" s="49" t="s">
        <v>69</v>
      </c>
      <c r="B35" s="56">
        <v>1040</v>
      </c>
      <c r="C35" s="57">
        <v>183</v>
      </c>
      <c r="D35" s="50">
        <v>64</v>
      </c>
      <c r="E35" s="50">
        <v>64</v>
      </c>
      <c r="F35" s="50">
        <v>16</v>
      </c>
      <c r="G35" s="50">
        <v>16</v>
      </c>
      <c r="H35" s="50">
        <v>16</v>
      </c>
      <c r="I35" s="50">
        <v>16</v>
      </c>
      <c r="J35" s="47">
        <f t="shared" si="0"/>
        <v>0</v>
      </c>
      <c r="K35" s="45"/>
      <c r="M35" s="48">
        <f t="shared" si="1"/>
        <v>0</v>
      </c>
    </row>
    <row r="36" spans="1:13" ht="45">
      <c r="A36" s="49" t="s">
        <v>70</v>
      </c>
      <c r="B36" s="56">
        <v>1041</v>
      </c>
      <c r="C36" s="51"/>
      <c r="D36" s="50"/>
      <c r="E36" s="50"/>
      <c r="F36" s="50">
        <f t="shared" ref="F36:F46" si="2">E36/4</f>
        <v>0</v>
      </c>
      <c r="G36" s="50">
        <f t="shared" ref="G36:I39" si="3">F36</f>
        <v>0</v>
      </c>
      <c r="H36" s="50">
        <f t="shared" si="3"/>
        <v>0</v>
      </c>
      <c r="I36" s="50">
        <f t="shared" si="3"/>
        <v>0</v>
      </c>
      <c r="J36" s="47">
        <f t="shared" si="0"/>
        <v>0</v>
      </c>
      <c r="K36" s="45"/>
      <c r="M36" s="48">
        <f t="shared" si="1"/>
        <v>0</v>
      </c>
    </row>
    <row r="37" spans="1:13" ht="30">
      <c r="A37" s="49" t="s">
        <v>71</v>
      </c>
      <c r="B37" s="56">
        <v>1042</v>
      </c>
      <c r="C37" s="51"/>
      <c r="D37" s="50"/>
      <c r="E37" s="50"/>
      <c r="F37" s="50">
        <f t="shared" si="2"/>
        <v>0</v>
      </c>
      <c r="G37" s="50">
        <f t="shared" si="3"/>
        <v>0</v>
      </c>
      <c r="H37" s="50">
        <f t="shared" si="3"/>
        <v>0</v>
      </c>
      <c r="I37" s="50">
        <f t="shared" si="3"/>
        <v>0</v>
      </c>
      <c r="J37" s="47">
        <f t="shared" si="0"/>
        <v>0</v>
      </c>
      <c r="K37" s="45"/>
      <c r="M37" s="48">
        <f t="shared" si="1"/>
        <v>0</v>
      </c>
    </row>
    <row r="38" spans="1:13" ht="30">
      <c r="A38" s="49" t="s">
        <v>72</v>
      </c>
      <c r="B38" s="56">
        <v>1043</v>
      </c>
      <c r="C38" s="51"/>
      <c r="D38" s="50"/>
      <c r="E38" s="50"/>
      <c r="F38" s="50">
        <f t="shared" si="2"/>
        <v>0</v>
      </c>
      <c r="G38" s="50">
        <f t="shared" si="3"/>
        <v>0</v>
      </c>
      <c r="H38" s="50">
        <f t="shared" si="3"/>
        <v>0</v>
      </c>
      <c r="I38" s="50">
        <f t="shared" si="3"/>
        <v>0</v>
      </c>
      <c r="J38" s="47">
        <f t="shared" si="0"/>
        <v>0</v>
      </c>
      <c r="K38" s="45"/>
      <c r="M38" s="48">
        <f t="shared" si="1"/>
        <v>0</v>
      </c>
    </row>
    <row r="39" spans="1:13">
      <c r="A39" s="49" t="s">
        <v>73</v>
      </c>
      <c r="B39" s="56">
        <v>1044</v>
      </c>
      <c r="C39" s="51"/>
      <c r="D39" s="50"/>
      <c r="E39" s="50"/>
      <c r="F39" s="50">
        <f t="shared" si="2"/>
        <v>0</v>
      </c>
      <c r="G39" s="50">
        <f t="shared" si="3"/>
        <v>0</v>
      </c>
      <c r="H39" s="50">
        <f t="shared" si="3"/>
        <v>0</v>
      </c>
      <c r="I39" s="50">
        <f t="shared" si="3"/>
        <v>0</v>
      </c>
      <c r="J39" s="47">
        <f t="shared" si="0"/>
        <v>0</v>
      </c>
      <c r="K39" s="45"/>
      <c r="M39" s="48">
        <f t="shared" si="1"/>
        <v>0</v>
      </c>
    </row>
    <row r="40" spans="1:13" ht="30">
      <c r="A40" s="49" t="s">
        <v>74</v>
      </c>
      <c r="B40" s="56">
        <v>1045</v>
      </c>
      <c r="C40" s="57">
        <v>138</v>
      </c>
      <c r="D40" s="50">
        <v>120</v>
      </c>
      <c r="E40" s="50">
        <v>120</v>
      </c>
      <c r="F40" s="50">
        <v>30</v>
      </c>
      <c r="G40" s="50">
        <v>30</v>
      </c>
      <c r="H40" s="50">
        <v>30</v>
      </c>
      <c r="I40" s="50">
        <v>30</v>
      </c>
      <c r="J40" s="47">
        <f t="shared" si="0"/>
        <v>0</v>
      </c>
      <c r="K40" s="45"/>
      <c r="M40" s="48">
        <f t="shared" si="1"/>
        <v>0</v>
      </c>
    </row>
    <row r="41" spans="1:13">
      <c r="A41" s="49" t="s">
        <v>75</v>
      </c>
      <c r="B41" s="56">
        <v>1046</v>
      </c>
      <c r="C41" s="51"/>
      <c r="D41" s="50"/>
      <c r="E41" s="50"/>
      <c r="F41" s="50">
        <f t="shared" si="2"/>
        <v>0</v>
      </c>
      <c r="G41" s="50">
        <v>0</v>
      </c>
      <c r="H41" s="50">
        <v>0</v>
      </c>
      <c r="I41" s="50">
        <v>0</v>
      </c>
      <c r="J41" s="47">
        <f t="shared" si="0"/>
        <v>0</v>
      </c>
      <c r="K41" s="45"/>
      <c r="M41" s="48">
        <f t="shared" si="1"/>
        <v>0</v>
      </c>
    </row>
    <row r="42" spans="1:13">
      <c r="A42" s="49" t="s">
        <v>76</v>
      </c>
      <c r="B42" s="56">
        <v>1047</v>
      </c>
      <c r="C42" s="51"/>
      <c r="D42" s="50"/>
      <c r="E42" s="50"/>
      <c r="F42" s="50">
        <f t="shared" si="2"/>
        <v>0</v>
      </c>
      <c r="G42" s="50">
        <v>0</v>
      </c>
      <c r="H42" s="50">
        <v>0</v>
      </c>
      <c r="I42" s="50">
        <v>0</v>
      </c>
      <c r="J42" s="47">
        <f t="shared" si="0"/>
        <v>0</v>
      </c>
      <c r="K42" s="45"/>
      <c r="M42" s="48">
        <f t="shared" si="1"/>
        <v>0</v>
      </c>
    </row>
    <row r="43" spans="1:13" ht="30">
      <c r="A43" s="49" t="s">
        <v>77</v>
      </c>
      <c r="B43" s="56">
        <v>1048</v>
      </c>
      <c r="C43" s="51"/>
      <c r="D43" s="50"/>
      <c r="E43" s="50"/>
      <c r="F43" s="50">
        <f t="shared" si="2"/>
        <v>0</v>
      </c>
      <c r="G43" s="50">
        <v>0</v>
      </c>
      <c r="H43" s="50">
        <v>0</v>
      </c>
      <c r="I43" s="50">
        <v>0</v>
      </c>
      <c r="J43" s="47">
        <f t="shared" si="0"/>
        <v>0</v>
      </c>
      <c r="K43" s="45"/>
      <c r="M43" s="48">
        <f t="shared" si="1"/>
        <v>0</v>
      </c>
    </row>
    <row r="44" spans="1:13" ht="45">
      <c r="A44" s="49" t="s">
        <v>78</v>
      </c>
      <c r="B44" s="56">
        <v>1049</v>
      </c>
      <c r="C44" s="57">
        <v>11</v>
      </c>
      <c r="D44" s="50">
        <v>4</v>
      </c>
      <c r="E44" s="50">
        <v>4</v>
      </c>
      <c r="F44" s="50">
        <f t="shared" si="2"/>
        <v>1</v>
      </c>
      <c r="G44" s="50">
        <v>1</v>
      </c>
      <c r="H44" s="50">
        <v>1</v>
      </c>
      <c r="I44" s="50">
        <v>1</v>
      </c>
      <c r="J44" s="47">
        <f t="shared" si="0"/>
        <v>0</v>
      </c>
      <c r="K44" s="45"/>
      <c r="M44" s="48">
        <f t="shared" si="1"/>
        <v>0</v>
      </c>
    </row>
    <row r="45" spans="1:13" ht="60">
      <c r="A45" s="49" t="s">
        <v>79</v>
      </c>
      <c r="B45" s="56">
        <v>1050</v>
      </c>
      <c r="C45" s="50"/>
      <c r="D45" s="50">
        <v>0</v>
      </c>
      <c r="E45" s="50">
        <f>E46</f>
        <v>0</v>
      </c>
      <c r="F45" s="50">
        <f>E45/4</f>
        <v>0</v>
      </c>
      <c r="G45" s="50">
        <f t="shared" ref="G45:I46" si="4">F45</f>
        <v>0</v>
      </c>
      <c r="H45" s="50">
        <f t="shared" si="4"/>
        <v>0</v>
      </c>
      <c r="I45" s="50">
        <f t="shared" si="4"/>
        <v>0</v>
      </c>
      <c r="J45" s="47">
        <f t="shared" si="0"/>
        <v>0</v>
      </c>
      <c r="K45" s="45"/>
      <c r="M45" s="48">
        <f t="shared" si="1"/>
        <v>0</v>
      </c>
    </row>
    <row r="46" spans="1:13" ht="30">
      <c r="A46" s="49" t="s">
        <v>80</v>
      </c>
      <c r="B46" s="37" t="s">
        <v>81</v>
      </c>
      <c r="C46" s="50"/>
      <c r="D46" s="50">
        <v>0</v>
      </c>
      <c r="E46" s="50">
        <v>0</v>
      </c>
      <c r="F46" s="50">
        <f t="shared" si="2"/>
        <v>0</v>
      </c>
      <c r="G46" s="50">
        <f t="shared" si="4"/>
        <v>0</v>
      </c>
      <c r="H46" s="50">
        <f t="shared" si="4"/>
        <v>0</v>
      </c>
      <c r="I46" s="50">
        <f t="shared" si="4"/>
        <v>0</v>
      </c>
      <c r="J46" s="47">
        <f t="shared" si="0"/>
        <v>0</v>
      </c>
      <c r="K46" s="45"/>
      <c r="M46" s="48">
        <f t="shared" si="1"/>
        <v>0</v>
      </c>
    </row>
    <row r="47" spans="1:13" ht="30">
      <c r="A47" s="49" t="s">
        <v>82</v>
      </c>
      <c r="B47" s="37">
        <v>1051</v>
      </c>
      <c r="C47" s="50">
        <v>512</v>
      </c>
      <c r="D47" s="50">
        <v>555</v>
      </c>
      <c r="E47" s="50">
        <f>SUM(E48:E57)</f>
        <v>555</v>
      </c>
      <c r="F47" s="50">
        <v>139</v>
      </c>
      <c r="G47" s="50">
        <v>139</v>
      </c>
      <c r="H47" s="50">
        <v>139</v>
      </c>
      <c r="I47" s="50">
        <v>138</v>
      </c>
      <c r="J47" s="47">
        <f t="shared" si="0"/>
        <v>0</v>
      </c>
      <c r="K47" s="45"/>
      <c r="M47" s="48">
        <f t="shared" si="1"/>
        <v>0</v>
      </c>
    </row>
    <row r="48" spans="1:13">
      <c r="A48" s="49" t="s">
        <v>83</v>
      </c>
      <c r="B48" s="37" t="s">
        <v>84</v>
      </c>
      <c r="C48" s="57">
        <v>123</v>
      </c>
      <c r="D48" s="50">
        <v>128</v>
      </c>
      <c r="E48" s="50">
        <v>128</v>
      </c>
      <c r="F48" s="50">
        <f>E48/4</f>
        <v>32</v>
      </c>
      <c r="G48" s="50">
        <v>32</v>
      </c>
      <c r="H48" s="50">
        <v>32</v>
      </c>
      <c r="I48" s="50">
        <v>32</v>
      </c>
      <c r="J48" s="47">
        <f t="shared" si="0"/>
        <v>0</v>
      </c>
      <c r="K48" s="45"/>
      <c r="M48" s="48">
        <f t="shared" si="1"/>
        <v>0</v>
      </c>
    </row>
    <row r="49" spans="1:13">
      <c r="A49" s="49" t="s">
        <v>85</v>
      </c>
      <c r="B49" s="37" t="s">
        <v>86</v>
      </c>
      <c r="C49" s="57">
        <v>56</v>
      </c>
      <c r="D49" s="50">
        <v>75</v>
      </c>
      <c r="E49" s="50">
        <f>60+15</f>
        <v>75</v>
      </c>
      <c r="F49" s="50">
        <v>30</v>
      </c>
      <c r="G49" s="50">
        <v>9</v>
      </c>
      <c r="H49" s="50">
        <v>4</v>
      </c>
      <c r="I49" s="50">
        <v>32</v>
      </c>
      <c r="J49" s="47">
        <f t="shared" si="0"/>
        <v>0</v>
      </c>
      <c r="K49" s="45"/>
      <c r="M49" s="48">
        <f t="shared" si="1"/>
        <v>0</v>
      </c>
    </row>
    <row r="50" spans="1:13">
      <c r="A50" s="49" t="s">
        <v>87</v>
      </c>
      <c r="B50" s="37" t="s">
        <v>88</v>
      </c>
      <c r="C50" s="57">
        <v>6</v>
      </c>
      <c r="D50" s="50">
        <v>8</v>
      </c>
      <c r="E50" s="50">
        <v>8</v>
      </c>
      <c r="F50" s="60">
        <v>2</v>
      </c>
      <c r="G50" s="60">
        <v>2</v>
      </c>
      <c r="H50" s="60">
        <v>2</v>
      </c>
      <c r="I50" s="60">
        <v>2</v>
      </c>
      <c r="J50" s="47">
        <f t="shared" si="0"/>
        <v>0</v>
      </c>
      <c r="K50" s="45"/>
      <c r="M50" s="48">
        <f t="shared" si="1"/>
        <v>0</v>
      </c>
    </row>
    <row r="51" spans="1:13">
      <c r="A51" s="49" t="s">
        <v>89</v>
      </c>
      <c r="B51" s="37" t="s">
        <v>90</v>
      </c>
      <c r="C51" s="57">
        <v>17</v>
      </c>
      <c r="D51" s="50">
        <v>14</v>
      </c>
      <c r="E51" s="50">
        <v>14</v>
      </c>
      <c r="F51" s="50">
        <v>3</v>
      </c>
      <c r="G51" s="50">
        <v>3</v>
      </c>
      <c r="H51" s="50">
        <v>4</v>
      </c>
      <c r="I51" s="50">
        <v>4</v>
      </c>
      <c r="J51" s="47">
        <f t="shared" si="0"/>
        <v>0</v>
      </c>
      <c r="K51" s="45"/>
      <c r="M51" s="48">
        <f t="shared" si="1"/>
        <v>0</v>
      </c>
    </row>
    <row r="52" spans="1:13">
      <c r="A52" s="49" t="s">
        <v>91</v>
      </c>
      <c r="B52" s="37" t="s">
        <v>92</v>
      </c>
      <c r="C52" s="57">
        <v>10</v>
      </c>
      <c r="D52" s="50">
        <v>10</v>
      </c>
      <c r="E52" s="50">
        <v>10</v>
      </c>
      <c r="F52" s="60">
        <v>2.5</v>
      </c>
      <c r="G52" s="60">
        <v>2.5</v>
      </c>
      <c r="H52" s="60">
        <v>2.5</v>
      </c>
      <c r="I52" s="60">
        <v>2.5</v>
      </c>
      <c r="J52" s="47">
        <f t="shared" si="0"/>
        <v>0</v>
      </c>
      <c r="K52" s="45"/>
      <c r="M52" s="48">
        <f t="shared" si="1"/>
        <v>0</v>
      </c>
    </row>
    <row r="53" spans="1:13">
      <c r="A53" s="49" t="s">
        <v>93</v>
      </c>
      <c r="B53" s="37" t="s">
        <v>94</v>
      </c>
      <c r="C53" s="51"/>
      <c r="D53" s="50"/>
      <c r="E53" s="50"/>
      <c r="F53" s="50">
        <f>E53/4</f>
        <v>0</v>
      </c>
      <c r="G53" s="50">
        <v>0</v>
      </c>
      <c r="H53" s="50">
        <v>0</v>
      </c>
      <c r="I53" s="50">
        <v>0</v>
      </c>
      <c r="J53" s="47">
        <f t="shared" si="0"/>
        <v>0</v>
      </c>
      <c r="K53" s="45"/>
      <c r="M53" s="48">
        <f t="shared" si="1"/>
        <v>0</v>
      </c>
    </row>
    <row r="54" spans="1:13">
      <c r="A54" s="49" t="s">
        <v>95</v>
      </c>
      <c r="B54" s="37" t="s">
        <v>96</v>
      </c>
      <c r="C54" s="57">
        <v>107</v>
      </c>
      <c r="D54" s="50">
        <v>100</v>
      </c>
      <c r="E54" s="50">
        <v>100</v>
      </c>
      <c r="F54" s="50">
        <v>25</v>
      </c>
      <c r="G54" s="50">
        <v>25</v>
      </c>
      <c r="H54" s="50">
        <v>25</v>
      </c>
      <c r="I54" s="50">
        <v>25</v>
      </c>
      <c r="J54" s="47">
        <f t="shared" si="0"/>
        <v>0</v>
      </c>
      <c r="K54" s="45"/>
      <c r="M54" s="48">
        <f t="shared" si="1"/>
        <v>0</v>
      </c>
    </row>
    <row r="55" spans="1:13">
      <c r="A55" s="49" t="s">
        <v>97</v>
      </c>
      <c r="B55" s="37" t="s">
        <v>98</v>
      </c>
      <c r="C55" s="57">
        <v>94</v>
      </c>
      <c r="D55" s="50">
        <v>100</v>
      </c>
      <c r="E55" s="50">
        <v>100</v>
      </c>
      <c r="F55" s="50">
        <v>25</v>
      </c>
      <c r="G55" s="50">
        <v>25</v>
      </c>
      <c r="H55" s="50">
        <v>25</v>
      </c>
      <c r="I55" s="50">
        <v>25</v>
      </c>
      <c r="J55" s="47">
        <f t="shared" si="0"/>
        <v>0</v>
      </c>
      <c r="K55" s="45"/>
      <c r="M55" s="48">
        <f t="shared" si="1"/>
        <v>0</v>
      </c>
    </row>
    <row r="56" spans="1:13">
      <c r="A56" s="49" t="s">
        <v>99</v>
      </c>
      <c r="B56" s="37" t="s">
        <v>100</v>
      </c>
      <c r="C56" s="61">
        <v>99</v>
      </c>
      <c r="D56" s="50">
        <v>120</v>
      </c>
      <c r="E56" s="50">
        <v>120</v>
      </c>
      <c r="F56" s="60">
        <v>30</v>
      </c>
      <c r="G56" s="60">
        <v>30</v>
      </c>
      <c r="H56" s="60">
        <v>30</v>
      </c>
      <c r="I56" s="60">
        <v>30</v>
      </c>
      <c r="J56" s="47">
        <f t="shared" si="0"/>
        <v>0</v>
      </c>
      <c r="K56" s="45"/>
      <c r="M56" s="48">
        <f t="shared" si="1"/>
        <v>0</v>
      </c>
    </row>
    <row r="57" spans="1:13" ht="30">
      <c r="A57" s="49" t="s">
        <v>101</v>
      </c>
      <c r="B57" s="37" t="s">
        <v>102</v>
      </c>
      <c r="C57" s="50">
        <v>0</v>
      </c>
      <c r="D57" s="54">
        <v>0</v>
      </c>
      <c r="E57" s="54">
        <v>0</v>
      </c>
      <c r="F57" s="50">
        <f>E57/4</f>
        <v>0</v>
      </c>
      <c r="G57" s="50">
        <f>F57</f>
        <v>0</v>
      </c>
      <c r="H57" s="50">
        <f>G57</f>
        <v>0</v>
      </c>
      <c r="I57" s="50">
        <f>H57</f>
        <v>0</v>
      </c>
      <c r="J57" s="47">
        <f t="shared" si="0"/>
        <v>0</v>
      </c>
      <c r="K57" s="45"/>
      <c r="M57" s="48">
        <f t="shared" si="1"/>
        <v>0</v>
      </c>
    </row>
    <row r="58" spans="1:13">
      <c r="A58" s="49" t="s">
        <v>103</v>
      </c>
      <c r="B58" s="56">
        <v>1060</v>
      </c>
      <c r="C58" s="50"/>
      <c r="D58" s="50"/>
      <c r="E58" s="50"/>
      <c r="F58" s="50"/>
      <c r="G58" s="50"/>
      <c r="H58" s="50"/>
      <c r="I58" s="50"/>
      <c r="J58" s="47">
        <f t="shared" si="0"/>
        <v>0</v>
      </c>
      <c r="K58" s="45"/>
      <c r="M58" s="48">
        <f t="shared" si="1"/>
        <v>0</v>
      </c>
    </row>
    <row r="59" spans="1:13">
      <c r="A59" s="49" t="s">
        <v>104</v>
      </c>
      <c r="B59" s="56">
        <v>1061</v>
      </c>
      <c r="C59" s="50"/>
      <c r="D59" s="50"/>
      <c r="E59" s="50"/>
      <c r="F59" s="50"/>
      <c r="G59" s="50"/>
      <c r="H59" s="50"/>
      <c r="I59" s="50"/>
      <c r="J59" s="47">
        <f t="shared" si="0"/>
        <v>0</v>
      </c>
      <c r="K59" s="45"/>
      <c r="M59" s="48">
        <f t="shared" si="1"/>
        <v>0</v>
      </c>
    </row>
    <row r="60" spans="1:13">
      <c r="A60" s="49" t="s">
        <v>105</v>
      </c>
      <c r="B60" s="56">
        <v>1062</v>
      </c>
      <c r="C60" s="50"/>
      <c r="D60" s="50"/>
      <c r="E60" s="50"/>
      <c r="F60" s="50"/>
      <c r="G60" s="50"/>
      <c r="H60" s="50"/>
      <c r="I60" s="50"/>
      <c r="J60" s="47">
        <f t="shared" si="0"/>
        <v>0</v>
      </c>
      <c r="K60" s="45"/>
      <c r="M60" s="48">
        <f t="shared" si="1"/>
        <v>0</v>
      </c>
    </row>
    <row r="61" spans="1:13">
      <c r="A61" s="49" t="s">
        <v>67</v>
      </c>
      <c r="B61" s="56">
        <v>1063</v>
      </c>
      <c r="C61" s="50"/>
      <c r="D61" s="50"/>
      <c r="E61" s="50"/>
      <c r="F61" s="50"/>
      <c r="G61" s="50"/>
      <c r="H61" s="50"/>
      <c r="I61" s="50"/>
      <c r="J61" s="47">
        <f t="shared" si="0"/>
        <v>0</v>
      </c>
      <c r="K61" s="45"/>
      <c r="M61" s="48">
        <f t="shared" si="1"/>
        <v>0</v>
      </c>
    </row>
    <row r="62" spans="1:13">
      <c r="A62" s="49" t="s">
        <v>68</v>
      </c>
      <c r="B62" s="56">
        <v>1064</v>
      </c>
      <c r="C62" s="50"/>
      <c r="D62" s="50"/>
      <c r="E62" s="50"/>
      <c r="F62" s="50"/>
      <c r="G62" s="50"/>
      <c r="H62" s="50"/>
      <c r="I62" s="50"/>
      <c r="J62" s="47">
        <f t="shared" si="0"/>
        <v>0</v>
      </c>
      <c r="K62" s="45"/>
      <c r="M62" s="48">
        <f t="shared" si="1"/>
        <v>0</v>
      </c>
    </row>
    <row r="63" spans="1:13" ht="30">
      <c r="A63" s="49" t="s">
        <v>106</v>
      </c>
      <c r="B63" s="56">
        <v>1065</v>
      </c>
      <c r="C63" s="50"/>
      <c r="D63" s="50"/>
      <c r="E63" s="50"/>
      <c r="F63" s="50"/>
      <c r="G63" s="50"/>
      <c r="H63" s="50"/>
      <c r="I63" s="50"/>
      <c r="J63" s="47">
        <f t="shared" si="0"/>
        <v>0</v>
      </c>
      <c r="K63" s="45"/>
      <c r="M63" s="48">
        <f t="shared" si="1"/>
        <v>0</v>
      </c>
    </row>
    <row r="64" spans="1:13">
      <c r="A64" s="49" t="s">
        <v>107</v>
      </c>
      <c r="B64" s="56">
        <v>1066</v>
      </c>
      <c r="C64" s="50"/>
      <c r="D64" s="50"/>
      <c r="E64" s="50"/>
      <c r="F64" s="50"/>
      <c r="G64" s="50"/>
      <c r="H64" s="50"/>
      <c r="I64" s="50"/>
      <c r="J64" s="47">
        <f t="shared" si="0"/>
        <v>0</v>
      </c>
      <c r="K64" s="45"/>
      <c r="M64" s="48">
        <f t="shared" si="1"/>
        <v>0</v>
      </c>
    </row>
    <row r="65" spans="1:15">
      <c r="A65" s="49" t="s">
        <v>108</v>
      </c>
      <c r="B65" s="56">
        <v>1067</v>
      </c>
      <c r="C65" s="54"/>
      <c r="D65" s="54"/>
      <c r="E65" s="54"/>
      <c r="F65" s="50"/>
      <c r="G65" s="50"/>
      <c r="H65" s="50"/>
      <c r="I65" s="50"/>
      <c r="J65" s="47">
        <f t="shared" si="0"/>
        <v>0</v>
      </c>
      <c r="K65" s="45"/>
      <c r="M65" s="48">
        <f t="shared" si="1"/>
        <v>0</v>
      </c>
    </row>
    <row r="66" spans="1:15" ht="28.5">
      <c r="A66" s="39" t="s">
        <v>109</v>
      </c>
      <c r="B66" s="53">
        <v>1070</v>
      </c>
      <c r="C66" s="54">
        <v>6992</v>
      </c>
      <c r="D66" s="54">
        <v>7350</v>
      </c>
      <c r="E66" s="54">
        <f>SUM(E67:E74)</f>
        <v>12359</v>
      </c>
      <c r="F66" s="54">
        <f>SUM(F67:F74)</f>
        <v>1868</v>
      </c>
      <c r="G66" s="54">
        <f>SUM(G67:G74)</f>
        <v>1838</v>
      </c>
      <c r="H66" s="54">
        <f>SUM(H67:H74)</f>
        <v>6787</v>
      </c>
      <c r="I66" s="54">
        <f>SUM(I67:I74)</f>
        <v>1866</v>
      </c>
      <c r="J66" s="47">
        <f t="shared" si="0"/>
        <v>0</v>
      </c>
      <c r="K66" s="45">
        <f>E66/E99*100</f>
        <v>26.990019872900788</v>
      </c>
      <c r="M66" s="48">
        <f t="shared" si="1"/>
        <v>0</v>
      </c>
      <c r="N66" s="185">
        <f t="shared" ref="N66:N74" si="5">E66-D66</f>
        <v>5009</v>
      </c>
    </row>
    <row r="67" spans="1:15">
      <c r="A67" s="49" t="s">
        <v>110</v>
      </c>
      <c r="B67" s="37" t="s">
        <v>111</v>
      </c>
      <c r="C67" s="50">
        <v>4575</v>
      </c>
      <c r="D67" s="50">
        <v>4640</v>
      </c>
      <c r="E67" s="50">
        <v>4640</v>
      </c>
      <c r="F67" s="50">
        <v>1190</v>
      </c>
      <c r="G67" s="50">
        <v>1160</v>
      </c>
      <c r="H67" s="50">
        <v>1100</v>
      </c>
      <c r="I67" s="50">
        <v>1190</v>
      </c>
      <c r="J67" s="47">
        <f t="shared" si="0"/>
        <v>0</v>
      </c>
      <c r="K67" s="45"/>
      <c r="M67" s="48">
        <f t="shared" si="1"/>
        <v>0</v>
      </c>
      <c r="N67" s="185">
        <f t="shared" si="5"/>
        <v>0</v>
      </c>
    </row>
    <row r="68" spans="1:15">
      <c r="A68" s="49" t="s">
        <v>112</v>
      </c>
      <c r="B68" s="37" t="s">
        <v>113</v>
      </c>
      <c r="C68" s="50">
        <v>1169</v>
      </c>
      <c r="D68" s="50">
        <v>1687</v>
      </c>
      <c r="E68" s="50">
        <v>1687</v>
      </c>
      <c r="F68" s="50">
        <v>422</v>
      </c>
      <c r="G68" s="50">
        <v>422</v>
      </c>
      <c r="H68" s="50">
        <v>422</v>
      </c>
      <c r="I68" s="50">
        <v>421</v>
      </c>
      <c r="J68" s="47">
        <f t="shared" si="0"/>
        <v>0</v>
      </c>
      <c r="K68" s="45"/>
      <c r="M68" s="48">
        <f t="shared" si="1"/>
        <v>0</v>
      </c>
      <c r="N68" s="185">
        <f t="shared" si="5"/>
        <v>0</v>
      </c>
    </row>
    <row r="69" spans="1:15">
      <c r="A69" s="49" t="s">
        <v>114</v>
      </c>
      <c r="B69" s="37" t="s">
        <v>115</v>
      </c>
      <c r="C69" s="50">
        <v>18</v>
      </c>
      <c r="D69" s="50"/>
      <c r="E69" s="50"/>
      <c r="F69" s="50"/>
      <c r="G69" s="50">
        <v>0</v>
      </c>
      <c r="H69" s="50">
        <v>0</v>
      </c>
      <c r="I69" s="50">
        <v>0</v>
      </c>
      <c r="J69" s="47">
        <f t="shared" si="0"/>
        <v>0</v>
      </c>
      <c r="K69" s="45"/>
      <c r="M69" s="48">
        <f t="shared" si="1"/>
        <v>0</v>
      </c>
      <c r="N69" s="185">
        <f t="shared" si="5"/>
        <v>0</v>
      </c>
    </row>
    <row r="70" spans="1:15" ht="30">
      <c r="A70" s="49" t="s">
        <v>323</v>
      </c>
      <c r="B70" s="37" t="s">
        <v>116</v>
      </c>
      <c r="C70" s="50">
        <v>588</v>
      </c>
      <c r="D70" s="50">
        <v>491</v>
      </c>
      <c r="E70" s="50">
        <f>491+5009</f>
        <v>5500</v>
      </c>
      <c r="F70" s="50">
        <v>123</v>
      </c>
      <c r="G70" s="50">
        <v>123</v>
      </c>
      <c r="H70" s="50">
        <f>123+5009</f>
        <v>5132</v>
      </c>
      <c r="I70" s="50">
        <v>122</v>
      </c>
      <c r="J70" s="47">
        <f t="shared" si="0"/>
        <v>0</v>
      </c>
      <c r="K70" s="45"/>
      <c r="M70" s="48">
        <f t="shared" si="1"/>
        <v>0</v>
      </c>
      <c r="N70" s="185">
        <f t="shared" si="5"/>
        <v>5009</v>
      </c>
      <c r="O70" s="48"/>
    </row>
    <row r="71" spans="1:15">
      <c r="A71" s="49" t="s">
        <v>117</v>
      </c>
      <c r="B71" s="37" t="s">
        <v>118</v>
      </c>
      <c r="C71" s="50">
        <v>67</v>
      </c>
      <c r="D71" s="50"/>
      <c r="E71" s="50"/>
      <c r="F71" s="50"/>
      <c r="G71" s="50"/>
      <c r="H71" s="50"/>
      <c r="I71" s="50"/>
      <c r="J71" s="47">
        <f t="shared" si="0"/>
        <v>0</v>
      </c>
      <c r="K71" s="45"/>
      <c r="M71" s="48">
        <f t="shared" si="1"/>
        <v>0</v>
      </c>
      <c r="N71" s="185">
        <f t="shared" si="5"/>
        <v>0</v>
      </c>
    </row>
    <row r="72" spans="1:15">
      <c r="A72" s="49" t="s">
        <v>119</v>
      </c>
      <c r="B72" s="37" t="s">
        <v>120</v>
      </c>
      <c r="C72" s="50"/>
      <c r="D72" s="50"/>
      <c r="E72" s="50"/>
      <c r="F72" s="50">
        <f>E72/4</f>
        <v>0</v>
      </c>
      <c r="G72" s="50">
        <v>0</v>
      </c>
      <c r="H72" s="50">
        <v>0</v>
      </c>
      <c r="I72" s="50">
        <v>0</v>
      </c>
      <c r="J72" s="47">
        <f t="shared" si="0"/>
        <v>0</v>
      </c>
      <c r="K72" s="45"/>
      <c r="M72" s="48">
        <f t="shared" si="1"/>
        <v>0</v>
      </c>
      <c r="N72" s="185">
        <f t="shared" si="5"/>
        <v>0</v>
      </c>
    </row>
    <row r="73" spans="1:15">
      <c r="A73" s="49" t="s">
        <v>121</v>
      </c>
      <c r="B73" s="37" t="s">
        <v>122</v>
      </c>
      <c r="C73" s="50">
        <v>43</v>
      </c>
      <c r="D73" s="50"/>
      <c r="E73" s="50"/>
      <c r="F73" s="50"/>
      <c r="G73" s="50"/>
      <c r="H73" s="50"/>
      <c r="I73" s="50"/>
      <c r="J73" s="47">
        <f t="shared" si="0"/>
        <v>0</v>
      </c>
      <c r="K73" s="45"/>
      <c r="M73" s="48">
        <f t="shared" si="1"/>
        <v>0</v>
      </c>
      <c r="N73" s="185">
        <f t="shared" si="5"/>
        <v>0</v>
      </c>
    </row>
    <row r="74" spans="1:15" ht="30">
      <c r="A74" s="49" t="s">
        <v>123</v>
      </c>
      <c r="B74" s="37" t="s">
        <v>124</v>
      </c>
      <c r="C74" s="50">
        <v>532</v>
      </c>
      <c r="D74" s="50">
        <v>532</v>
      </c>
      <c r="E74" s="50">
        <v>532</v>
      </c>
      <c r="F74" s="50">
        <v>133</v>
      </c>
      <c r="G74" s="50">
        <v>133</v>
      </c>
      <c r="H74" s="50">
        <v>133</v>
      </c>
      <c r="I74" s="50">
        <v>133</v>
      </c>
      <c r="J74" s="47">
        <f t="shared" ref="J74:J108" si="6">E74-F74-G74-H74-I74</f>
        <v>0</v>
      </c>
      <c r="K74" s="45"/>
      <c r="M74" s="48">
        <f t="shared" ref="M74:M108" si="7">E74-I74-H74-G74-F74</f>
        <v>0</v>
      </c>
      <c r="N74" s="185">
        <f t="shared" si="5"/>
        <v>0</v>
      </c>
    </row>
    <row r="75" spans="1:15" s="55" customFormat="1" ht="28.5">
      <c r="A75" s="62" t="s">
        <v>125</v>
      </c>
      <c r="B75" s="53">
        <v>1080</v>
      </c>
      <c r="C75" s="54">
        <v>5504</v>
      </c>
      <c r="D75" s="54">
        <v>5795</v>
      </c>
      <c r="E75" s="54">
        <f>E76+E77+E78+E80+E81+E79+E82</f>
        <v>10804</v>
      </c>
      <c r="F75" s="54">
        <f>F76+F77+F78+F80+F81+F79+F82</f>
        <v>1479</v>
      </c>
      <c r="G75" s="54">
        <f>G76+G77+G78+G80+G81+G79+G82</f>
        <v>1419</v>
      </c>
      <c r="H75" s="54">
        <f>H76+H77+H78+H80+H81+H79+H82</f>
        <v>6428</v>
      </c>
      <c r="I75" s="54">
        <f>I76+I77+I78+I80+I81+I79+I82</f>
        <v>1478</v>
      </c>
      <c r="J75" s="47">
        <f t="shared" si="6"/>
        <v>0</v>
      </c>
      <c r="K75" s="45">
        <f>E75/E100*100</f>
        <v>24.433963842980347</v>
      </c>
      <c r="M75" s="48">
        <f t="shared" si="7"/>
        <v>0</v>
      </c>
      <c r="N75" s="185">
        <f>E75-D75</f>
        <v>5009</v>
      </c>
    </row>
    <row r="76" spans="1:15">
      <c r="A76" s="49" t="s">
        <v>126</v>
      </c>
      <c r="B76" s="38" t="s">
        <v>127</v>
      </c>
      <c r="C76" s="50">
        <v>4570</v>
      </c>
      <c r="D76" s="50">
        <v>4640</v>
      </c>
      <c r="E76" s="50">
        <v>4640</v>
      </c>
      <c r="F76" s="50">
        <v>1190</v>
      </c>
      <c r="G76" s="50">
        <v>1130</v>
      </c>
      <c r="H76" s="50">
        <v>1130</v>
      </c>
      <c r="I76" s="50">
        <v>1190</v>
      </c>
      <c r="J76" s="47">
        <f t="shared" si="6"/>
        <v>0</v>
      </c>
      <c r="K76" s="45"/>
      <c r="M76" s="48">
        <f t="shared" si="7"/>
        <v>0</v>
      </c>
      <c r="N76" s="185">
        <f>E76-D76</f>
        <v>0</v>
      </c>
    </row>
    <row r="77" spans="1:15" ht="30">
      <c r="A77" s="49" t="s">
        <v>322</v>
      </c>
      <c r="B77" s="38" t="s">
        <v>128</v>
      </c>
      <c r="C77" s="61">
        <v>588</v>
      </c>
      <c r="D77" s="50">
        <v>491</v>
      </c>
      <c r="E77" s="50">
        <v>5500</v>
      </c>
      <c r="F77" s="50">
        <v>123</v>
      </c>
      <c r="G77" s="50">
        <v>123</v>
      </c>
      <c r="H77" s="50">
        <v>5132</v>
      </c>
      <c r="I77" s="50">
        <v>122</v>
      </c>
      <c r="J77" s="47">
        <f t="shared" si="6"/>
        <v>0</v>
      </c>
      <c r="K77" s="45"/>
      <c r="M77" s="48">
        <f t="shared" si="7"/>
        <v>0</v>
      </c>
      <c r="N77" s="185">
        <f>E77-D77</f>
        <v>5009</v>
      </c>
    </row>
    <row r="78" spans="1:15">
      <c r="A78" s="49" t="s">
        <v>129</v>
      </c>
      <c r="B78" s="38" t="s">
        <v>130</v>
      </c>
      <c r="C78" s="61">
        <v>18</v>
      </c>
      <c r="D78" s="50"/>
      <c r="E78" s="50"/>
      <c r="F78" s="50">
        <f>E78/4</f>
        <v>0</v>
      </c>
      <c r="G78" s="50">
        <v>0</v>
      </c>
      <c r="H78" s="50">
        <v>0</v>
      </c>
      <c r="I78" s="50">
        <v>0</v>
      </c>
      <c r="J78" s="47">
        <f t="shared" si="6"/>
        <v>0</v>
      </c>
      <c r="K78" s="45"/>
      <c r="M78" s="48">
        <f t="shared" si="7"/>
        <v>0</v>
      </c>
    </row>
    <row r="79" spans="1:15">
      <c r="A79" s="49" t="s">
        <v>131</v>
      </c>
      <c r="B79" s="38" t="s">
        <v>132</v>
      </c>
      <c r="C79" s="61">
        <v>90</v>
      </c>
      <c r="D79" s="50"/>
      <c r="E79" s="50"/>
      <c r="F79" s="50"/>
      <c r="G79" s="50"/>
      <c r="H79" s="50"/>
      <c r="I79" s="50"/>
      <c r="J79" s="47">
        <f t="shared" si="6"/>
        <v>0</v>
      </c>
      <c r="K79" s="45"/>
      <c r="M79" s="48">
        <f t="shared" si="7"/>
        <v>0</v>
      </c>
    </row>
    <row r="80" spans="1:15">
      <c r="A80" s="49" t="s">
        <v>133</v>
      </c>
      <c r="B80" s="38" t="s">
        <v>134</v>
      </c>
      <c r="C80" s="61">
        <v>139</v>
      </c>
      <c r="D80" s="50">
        <v>180</v>
      </c>
      <c r="E80" s="50">
        <v>180</v>
      </c>
      <c r="F80" s="50">
        <f>E80/4</f>
        <v>45</v>
      </c>
      <c r="G80" s="50">
        <v>45</v>
      </c>
      <c r="H80" s="50">
        <v>45</v>
      </c>
      <c r="I80" s="50">
        <v>45</v>
      </c>
      <c r="J80" s="47">
        <f t="shared" si="6"/>
        <v>0</v>
      </c>
      <c r="K80" s="45"/>
      <c r="M80" s="48">
        <f t="shared" si="7"/>
        <v>0</v>
      </c>
    </row>
    <row r="81" spans="1:13">
      <c r="A81" s="49" t="s">
        <v>135</v>
      </c>
      <c r="B81" s="38" t="s">
        <v>136</v>
      </c>
      <c r="C81" s="51"/>
      <c r="D81" s="54"/>
      <c r="E81" s="54"/>
      <c r="F81" s="50">
        <f>E81/4</f>
        <v>0</v>
      </c>
      <c r="G81" s="50">
        <v>0</v>
      </c>
      <c r="H81" s="50">
        <v>0</v>
      </c>
      <c r="I81" s="50">
        <v>0</v>
      </c>
      <c r="J81" s="47">
        <f t="shared" si="6"/>
        <v>0</v>
      </c>
      <c r="K81" s="45"/>
      <c r="M81" s="48">
        <f t="shared" si="7"/>
        <v>0</v>
      </c>
    </row>
    <row r="82" spans="1:13" ht="30">
      <c r="A82" s="49" t="s">
        <v>137</v>
      </c>
      <c r="B82" s="38" t="s">
        <v>138</v>
      </c>
      <c r="C82" s="61">
        <v>99</v>
      </c>
      <c r="D82" s="50">
        <v>484</v>
      </c>
      <c r="E82" s="50">
        <f>SUM(F82:I82)</f>
        <v>484</v>
      </c>
      <c r="F82" s="50">
        <v>121</v>
      </c>
      <c r="G82" s="50">
        <v>121</v>
      </c>
      <c r="H82" s="50">
        <v>121</v>
      </c>
      <c r="I82" s="50">
        <v>121</v>
      </c>
      <c r="J82" s="47">
        <f t="shared" si="6"/>
        <v>0</v>
      </c>
      <c r="K82" s="45"/>
      <c r="M82" s="48">
        <f t="shared" si="7"/>
        <v>0</v>
      </c>
    </row>
    <row r="83" spans="1:13">
      <c r="A83" s="49" t="s">
        <v>139</v>
      </c>
      <c r="B83" s="38" t="s">
        <v>140</v>
      </c>
      <c r="C83" s="50">
        <v>136.161</v>
      </c>
      <c r="D83" s="50">
        <v>193.58478000000005</v>
      </c>
      <c r="E83" s="50">
        <f>(E93-E94)*0.15</f>
        <v>193.58478000000005</v>
      </c>
      <c r="F83" s="50">
        <f>(F93-F94)*0.15</f>
        <v>79.5</v>
      </c>
      <c r="G83" s="50">
        <f>(G93-G94)*0.15</f>
        <v>43.05</v>
      </c>
      <c r="H83" s="50">
        <f>(H93-H94)*0.15</f>
        <v>34.049999999999997</v>
      </c>
      <c r="I83" s="50">
        <f>(I93-I94)*0.15</f>
        <v>37.049999999999997</v>
      </c>
      <c r="J83" s="47">
        <f t="shared" si="6"/>
        <v>-6.521999999993966E-2</v>
      </c>
      <c r="K83" s="45"/>
      <c r="M83" s="48">
        <f t="shared" si="7"/>
        <v>-6.5219999999925449E-2</v>
      </c>
    </row>
    <row r="84" spans="1:13" ht="28.5">
      <c r="A84" s="39" t="s">
        <v>141</v>
      </c>
      <c r="B84" s="53">
        <v>1100</v>
      </c>
      <c r="C84" s="63">
        <v>1086</v>
      </c>
      <c r="D84" s="63">
        <v>1573.8599999999979</v>
      </c>
      <c r="E84" s="63">
        <f t="shared" ref="E84:L84" si="8">E24-E25+E66-E75</f>
        <v>1573.8599999999969</v>
      </c>
      <c r="F84" s="63">
        <f t="shared" si="8"/>
        <v>530</v>
      </c>
      <c r="G84" s="63">
        <f t="shared" si="8"/>
        <v>287</v>
      </c>
      <c r="H84" s="63">
        <f t="shared" si="8"/>
        <v>227</v>
      </c>
      <c r="I84" s="63">
        <f t="shared" si="8"/>
        <v>530</v>
      </c>
      <c r="J84" s="63">
        <f t="shared" si="8"/>
        <v>-0.14000000000214641</v>
      </c>
      <c r="K84" s="63">
        <f t="shared" si="8"/>
        <v>-13.739389582346657</v>
      </c>
      <c r="L84" s="63">
        <f t="shared" si="8"/>
        <v>0</v>
      </c>
      <c r="M84" s="48">
        <f t="shared" si="7"/>
        <v>-0.1400000000030559</v>
      </c>
    </row>
    <row r="85" spans="1:13" ht="30">
      <c r="A85" s="49" t="s">
        <v>142</v>
      </c>
      <c r="B85" s="56">
        <v>1110</v>
      </c>
      <c r="C85" s="50"/>
      <c r="D85" s="50"/>
      <c r="E85" s="50"/>
      <c r="F85" s="50"/>
      <c r="G85" s="50"/>
      <c r="H85" s="50"/>
      <c r="I85" s="50"/>
      <c r="J85" s="47">
        <f t="shared" si="6"/>
        <v>0</v>
      </c>
      <c r="K85" s="45"/>
      <c r="M85" s="48">
        <f t="shared" si="7"/>
        <v>0</v>
      </c>
    </row>
    <row r="86" spans="1:13" ht="30">
      <c r="A86" s="49" t="s">
        <v>143</v>
      </c>
      <c r="B86" s="56">
        <v>1120</v>
      </c>
      <c r="C86" s="50"/>
      <c r="D86" s="50"/>
      <c r="E86" s="50"/>
      <c r="F86" s="50"/>
      <c r="G86" s="50"/>
      <c r="H86" s="50"/>
      <c r="I86" s="50"/>
      <c r="J86" s="47">
        <f t="shared" si="6"/>
        <v>0</v>
      </c>
      <c r="K86" s="45"/>
      <c r="M86" s="48">
        <f t="shared" si="7"/>
        <v>0</v>
      </c>
    </row>
    <row r="87" spans="1:13" ht="7.5" hidden="1" customHeight="1">
      <c r="A87" s="49"/>
      <c r="B87" s="56"/>
      <c r="C87" s="54"/>
      <c r="D87" s="54">
        <v>1573.8599999999979</v>
      </c>
      <c r="E87" s="54">
        <f>E84-E85</f>
        <v>1573.8599999999969</v>
      </c>
      <c r="F87" s="50"/>
      <c r="G87" s="50"/>
      <c r="H87" s="50"/>
      <c r="I87" s="50"/>
      <c r="J87" s="47">
        <f t="shared" si="6"/>
        <v>1573.8599999999969</v>
      </c>
      <c r="K87" s="45"/>
      <c r="M87" s="48">
        <f t="shared" si="7"/>
        <v>1573.8599999999969</v>
      </c>
    </row>
    <row r="88" spans="1:13" ht="8.25" hidden="1" customHeight="1">
      <c r="A88" s="49"/>
      <c r="B88" s="56"/>
      <c r="C88" s="50"/>
      <c r="D88" s="50">
        <v>1573.8599999999979</v>
      </c>
      <c r="E88" s="50">
        <f>E87</f>
        <v>1573.8599999999969</v>
      </c>
      <c r="F88" s="50"/>
      <c r="G88" s="50"/>
      <c r="H88" s="50"/>
      <c r="I88" s="50"/>
      <c r="J88" s="47">
        <f t="shared" si="6"/>
        <v>1573.8599999999969</v>
      </c>
      <c r="K88" s="45"/>
      <c r="M88" s="48">
        <f t="shared" si="7"/>
        <v>1573.8599999999969</v>
      </c>
    </row>
    <row r="89" spans="1:13" ht="15.75" customHeight="1">
      <c r="A89" s="49" t="s">
        <v>144</v>
      </c>
      <c r="B89" s="56">
        <v>1130</v>
      </c>
      <c r="C89" s="50"/>
      <c r="D89" s="50"/>
      <c r="E89" s="50"/>
      <c r="F89" s="50"/>
      <c r="G89" s="50"/>
      <c r="H89" s="50"/>
      <c r="I89" s="50"/>
      <c r="J89" s="47">
        <f t="shared" si="6"/>
        <v>0</v>
      </c>
      <c r="K89" s="45"/>
      <c r="M89" s="48">
        <f t="shared" si="7"/>
        <v>0</v>
      </c>
    </row>
    <row r="90" spans="1:13">
      <c r="A90" s="49" t="s">
        <v>145</v>
      </c>
      <c r="B90" s="56">
        <v>1140</v>
      </c>
      <c r="C90" s="54"/>
      <c r="D90" s="54"/>
      <c r="E90" s="54"/>
      <c r="F90" s="50"/>
      <c r="G90" s="50"/>
      <c r="H90" s="50"/>
      <c r="I90" s="50"/>
      <c r="J90" s="47">
        <f t="shared" si="6"/>
        <v>0</v>
      </c>
      <c r="K90" s="45"/>
      <c r="M90" s="48">
        <f t="shared" si="7"/>
        <v>0</v>
      </c>
    </row>
    <row r="91" spans="1:13">
      <c r="A91" s="49" t="s">
        <v>146</v>
      </c>
      <c r="B91" s="56">
        <v>1150</v>
      </c>
      <c r="C91" s="50">
        <v>2164</v>
      </c>
      <c r="D91" s="50">
        <v>2136</v>
      </c>
      <c r="E91" s="50">
        <v>2136</v>
      </c>
      <c r="F91" s="50">
        <f>E91/4</f>
        <v>534</v>
      </c>
      <c r="G91" s="50">
        <f t="shared" ref="G91:I92" si="9">F91</f>
        <v>534</v>
      </c>
      <c r="H91" s="50">
        <f t="shared" si="9"/>
        <v>534</v>
      </c>
      <c r="I91" s="50">
        <f t="shared" si="9"/>
        <v>534</v>
      </c>
      <c r="J91" s="47">
        <f t="shared" si="6"/>
        <v>0</v>
      </c>
      <c r="K91" s="45">
        <f>E91/E99*100</f>
        <v>4.6646720971369922</v>
      </c>
      <c r="L91" s="55"/>
      <c r="M91" s="48">
        <f t="shared" si="7"/>
        <v>0</v>
      </c>
    </row>
    <row r="92" spans="1:13">
      <c r="A92" s="49" t="s">
        <v>147</v>
      </c>
      <c r="B92" s="56">
        <v>1160</v>
      </c>
      <c r="C92" s="54">
        <v>2143</v>
      </c>
      <c r="D92" s="50">
        <v>2136</v>
      </c>
      <c r="E92" s="50">
        <v>2136</v>
      </c>
      <c r="F92" s="50">
        <f>E92/4</f>
        <v>534</v>
      </c>
      <c r="G92" s="50">
        <f t="shared" si="9"/>
        <v>534</v>
      </c>
      <c r="H92" s="50">
        <f t="shared" si="9"/>
        <v>534</v>
      </c>
      <c r="I92" s="50">
        <f t="shared" si="9"/>
        <v>534</v>
      </c>
      <c r="J92" s="47">
        <f t="shared" si="6"/>
        <v>0</v>
      </c>
      <c r="K92" s="45">
        <f>E92/E100*100</f>
        <v>4.8307059208261771</v>
      </c>
      <c r="L92" s="55"/>
      <c r="M92" s="48">
        <f t="shared" si="7"/>
        <v>0</v>
      </c>
    </row>
    <row r="93" spans="1:13" ht="28.5">
      <c r="A93" s="39" t="s">
        <v>148</v>
      </c>
      <c r="B93" s="53">
        <v>1170</v>
      </c>
      <c r="C93" s="54">
        <v>1107</v>
      </c>
      <c r="D93" s="54">
        <v>1573.8600000000006</v>
      </c>
      <c r="E93" s="54">
        <f>E99-E100</f>
        <v>1573.8600000000006</v>
      </c>
      <c r="F93" s="54">
        <f>F99-F100</f>
        <v>530</v>
      </c>
      <c r="G93" s="54">
        <f>G99-G100</f>
        <v>287</v>
      </c>
      <c r="H93" s="54">
        <f>H99-H100</f>
        <v>227</v>
      </c>
      <c r="I93" s="54">
        <f>I99-I100</f>
        <v>530</v>
      </c>
      <c r="J93" s="47">
        <f t="shared" si="6"/>
        <v>-0.13999999999941792</v>
      </c>
      <c r="K93" s="45"/>
      <c r="L93" s="55"/>
      <c r="M93" s="48">
        <f t="shared" si="7"/>
        <v>-0.13999999999941792</v>
      </c>
    </row>
    <row r="94" spans="1:13">
      <c r="A94" s="49" t="s">
        <v>149</v>
      </c>
      <c r="B94" s="38">
        <v>1180</v>
      </c>
      <c r="C94" s="50">
        <v>199.26</v>
      </c>
      <c r="D94" s="50">
        <v>283.29480000000007</v>
      </c>
      <c r="E94" s="50">
        <f>E93*0.18</f>
        <v>283.29480000000007</v>
      </c>
      <c r="F94" s="50"/>
      <c r="G94" s="50"/>
      <c r="H94" s="50"/>
      <c r="I94" s="50">
        <v>283</v>
      </c>
      <c r="J94" s="47">
        <f t="shared" si="6"/>
        <v>0.29480000000006612</v>
      </c>
      <c r="K94" s="45"/>
      <c r="M94" s="48">
        <f t="shared" si="7"/>
        <v>0.29480000000006612</v>
      </c>
    </row>
    <row r="95" spans="1:13">
      <c r="A95" s="49" t="s">
        <v>150</v>
      </c>
      <c r="B95" s="38">
        <v>1181</v>
      </c>
      <c r="C95" s="50"/>
      <c r="D95" s="50"/>
      <c r="E95" s="50"/>
      <c r="F95" s="50"/>
      <c r="G95" s="50"/>
      <c r="H95" s="50"/>
      <c r="I95" s="50"/>
      <c r="J95" s="47">
        <f t="shared" si="6"/>
        <v>0</v>
      </c>
      <c r="K95" s="45"/>
      <c r="M95" s="48">
        <f t="shared" si="7"/>
        <v>0</v>
      </c>
    </row>
    <row r="96" spans="1:13" ht="28.5">
      <c r="A96" s="39" t="s">
        <v>151</v>
      </c>
      <c r="B96" s="53">
        <v>1200</v>
      </c>
      <c r="C96" s="54">
        <v>907.74</v>
      </c>
      <c r="D96" s="54">
        <v>1290.5652000000005</v>
      </c>
      <c r="E96" s="54">
        <f>E97</f>
        <v>1290.5652000000005</v>
      </c>
      <c r="F96" s="54">
        <f>F97</f>
        <v>530</v>
      </c>
      <c r="G96" s="54">
        <f>G97</f>
        <v>287</v>
      </c>
      <c r="H96" s="54">
        <f>H97</f>
        <v>227</v>
      </c>
      <c r="I96" s="54">
        <f>I97</f>
        <v>247</v>
      </c>
      <c r="J96" s="47">
        <f t="shared" si="6"/>
        <v>-0.43479999999954089</v>
      </c>
      <c r="K96" s="45"/>
      <c r="L96" s="55"/>
      <c r="M96" s="48">
        <f t="shared" si="7"/>
        <v>-0.43479999999954089</v>
      </c>
    </row>
    <row r="97" spans="1:16">
      <c r="A97" s="49" t="s">
        <v>152</v>
      </c>
      <c r="B97" s="37">
        <v>1201</v>
      </c>
      <c r="C97" s="50">
        <v>907.74</v>
      </c>
      <c r="D97" s="50">
        <v>1290.5652000000005</v>
      </c>
      <c r="E97" s="50">
        <f>E93-E94</f>
        <v>1290.5652000000005</v>
      </c>
      <c r="F97" s="50">
        <f>F93-F94</f>
        <v>530</v>
      </c>
      <c r="G97" s="50">
        <f>G93-G94</f>
        <v>287</v>
      </c>
      <c r="H97" s="50">
        <f>H93-H94</f>
        <v>227</v>
      </c>
      <c r="I97" s="50">
        <f>I93-I94</f>
        <v>247</v>
      </c>
      <c r="J97" s="47">
        <f t="shared" si="6"/>
        <v>-0.43479999999954089</v>
      </c>
      <c r="K97" s="45"/>
      <c r="M97" s="48">
        <f t="shared" si="7"/>
        <v>-0.43479999999954089</v>
      </c>
    </row>
    <row r="98" spans="1:16">
      <c r="A98" s="49" t="s">
        <v>153</v>
      </c>
      <c r="B98" s="37">
        <v>1202</v>
      </c>
      <c r="C98" s="50"/>
      <c r="D98" s="50"/>
      <c r="E98" s="50"/>
      <c r="F98" s="50"/>
      <c r="G98" s="50"/>
      <c r="H98" s="50"/>
      <c r="I98" s="50"/>
      <c r="J98" s="47">
        <f t="shared" si="6"/>
        <v>0</v>
      </c>
      <c r="K98" s="45"/>
      <c r="M98" s="48">
        <f t="shared" si="7"/>
        <v>0</v>
      </c>
    </row>
    <row r="99" spans="1:16" s="55" customFormat="1" ht="15.75" customHeight="1">
      <c r="A99" s="39" t="s">
        <v>154</v>
      </c>
      <c r="B99" s="53">
        <v>1210</v>
      </c>
      <c r="C99" s="54">
        <v>39342</v>
      </c>
      <c r="D99" s="54">
        <f t="shared" ref="D99:I99" si="10">D91+D66+D9</f>
        <v>40782</v>
      </c>
      <c r="E99" s="54">
        <f t="shared" si="10"/>
        <v>45791</v>
      </c>
      <c r="F99" s="54">
        <f t="shared" si="10"/>
        <v>10226</v>
      </c>
      <c r="G99" s="54">
        <f t="shared" si="10"/>
        <v>10196</v>
      </c>
      <c r="H99" s="54">
        <f t="shared" si="10"/>
        <v>15145</v>
      </c>
      <c r="I99" s="54">
        <f t="shared" si="10"/>
        <v>10224</v>
      </c>
      <c r="J99" s="47">
        <f t="shared" si="6"/>
        <v>0</v>
      </c>
      <c r="K99" s="45"/>
      <c r="M99" s="48">
        <f t="shared" si="7"/>
        <v>0</v>
      </c>
      <c r="O99" s="185"/>
    </row>
    <row r="100" spans="1:16" s="55" customFormat="1">
      <c r="A100" s="39" t="s">
        <v>155</v>
      </c>
      <c r="B100" s="53">
        <v>1220</v>
      </c>
      <c r="C100" s="54">
        <v>38235</v>
      </c>
      <c r="D100" s="54">
        <f>D92+D75+D25+D10</f>
        <v>39208.14</v>
      </c>
      <c r="E100" s="54">
        <f>E92+E75+E25+E10</f>
        <v>44217.14</v>
      </c>
      <c r="F100" s="54">
        <f t="shared" ref="F100:N100" si="11">F92+F75+F25+F10</f>
        <v>9696</v>
      </c>
      <c r="G100" s="54">
        <f t="shared" si="11"/>
        <v>9909</v>
      </c>
      <c r="H100" s="54">
        <f t="shared" si="11"/>
        <v>14918</v>
      </c>
      <c r="I100" s="54">
        <f t="shared" si="11"/>
        <v>9694</v>
      </c>
      <c r="J100" s="46">
        <f t="shared" si="11"/>
        <v>0.14000000000214641</v>
      </c>
      <c r="K100" s="46">
        <f t="shared" si="11"/>
        <v>100</v>
      </c>
      <c r="L100" s="46">
        <f t="shared" si="11"/>
        <v>0</v>
      </c>
      <c r="M100" s="46">
        <f t="shared" si="11"/>
        <v>0.14000000000214641</v>
      </c>
      <c r="N100" s="46">
        <f t="shared" si="11"/>
        <v>5009</v>
      </c>
    </row>
    <row r="101" spans="1:16" ht="14.25" customHeight="1">
      <c r="A101" s="227" t="s">
        <v>156</v>
      </c>
      <c r="B101" s="227"/>
      <c r="C101" s="227"/>
      <c r="D101" s="227"/>
      <c r="E101" s="227"/>
      <c r="F101" s="227"/>
      <c r="G101" s="227"/>
      <c r="H101" s="227"/>
      <c r="I101" s="227"/>
      <c r="J101" s="47">
        <f t="shared" si="6"/>
        <v>0</v>
      </c>
      <c r="K101" s="45"/>
      <c r="M101" s="48">
        <f t="shared" si="7"/>
        <v>0</v>
      </c>
    </row>
    <row r="102" spans="1:16" s="55" customFormat="1">
      <c r="A102" s="64" t="s">
        <v>157</v>
      </c>
      <c r="B102" s="53">
        <v>1300</v>
      </c>
      <c r="C102" s="65">
        <v>9676</v>
      </c>
      <c r="D102" s="66">
        <f t="shared" ref="D102:I102" si="12">D103+D104</f>
        <v>10585</v>
      </c>
      <c r="E102" s="66">
        <f t="shared" si="12"/>
        <v>10585</v>
      </c>
      <c r="F102" s="66">
        <f t="shared" si="12"/>
        <v>2676</v>
      </c>
      <c r="G102" s="66">
        <f t="shared" si="12"/>
        <v>2617</v>
      </c>
      <c r="H102" s="66">
        <f t="shared" si="12"/>
        <v>2617</v>
      </c>
      <c r="I102" s="66">
        <f t="shared" si="12"/>
        <v>2675</v>
      </c>
      <c r="J102" s="47">
        <f t="shared" si="6"/>
        <v>0</v>
      </c>
      <c r="K102" s="45"/>
      <c r="M102" s="48">
        <f t="shared" si="7"/>
        <v>0</v>
      </c>
    </row>
    <row r="103" spans="1:16" ht="30">
      <c r="A103" s="49" t="s">
        <v>42</v>
      </c>
      <c r="B103" s="37">
        <v>1301</v>
      </c>
      <c r="C103" s="188">
        <v>1871</v>
      </c>
      <c r="D103" s="50">
        <v>2086</v>
      </c>
      <c r="E103" s="50">
        <v>2086</v>
      </c>
      <c r="F103" s="50">
        <v>522</v>
      </c>
      <c r="G103" s="50">
        <v>522</v>
      </c>
      <c r="H103" s="50">
        <v>522</v>
      </c>
      <c r="I103" s="50">
        <v>520</v>
      </c>
      <c r="J103" s="47">
        <f t="shared" si="6"/>
        <v>0</v>
      </c>
      <c r="K103" s="45"/>
      <c r="M103" s="48">
        <f t="shared" si="7"/>
        <v>0</v>
      </c>
      <c r="P103" s="48"/>
    </row>
    <row r="104" spans="1:16">
      <c r="A104" s="49" t="s">
        <v>158</v>
      </c>
      <c r="B104" s="37">
        <v>1302</v>
      </c>
      <c r="C104" s="188">
        <v>8385</v>
      </c>
      <c r="D104" s="50">
        <v>8499</v>
      </c>
      <c r="E104" s="50">
        <v>8499</v>
      </c>
      <c r="F104" s="50">
        <v>2154</v>
      </c>
      <c r="G104" s="50">
        <v>2095</v>
      </c>
      <c r="H104" s="50">
        <v>2095</v>
      </c>
      <c r="I104" s="50">
        <v>2155</v>
      </c>
      <c r="J104" s="47">
        <f t="shared" si="6"/>
        <v>0</v>
      </c>
      <c r="K104" s="45"/>
      <c r="M104" s="48">
        <f t="shared" si="7"/>
        <v>0</v>
      </c>
      <c r="P104" s="48"/>
    </row>
    <row r="105" spans="1:16">
      <c r="A105" s="49" t="s">
        <v>45</v>
      </c>
      <c r="B105" s="56">
        <v>1310</v>
      </c>
      <c r="C105" s="189">
        <v>16843</v>
      </c>
      <c r="D105" s="50">
        <v>19618</v>
      </c>
      <c r="E105" s="50">
        <v>19618</v>
      </c>
      <c r="F105" s="50">
        <v>4904.5</v>
      </c>
      <c r="G105" s="50">
        <v>4904.5</v>
      </c>
      <c r="H105" s="50">
        <v>4904.5</v>
      </c>
      <c r="I105" s="50">
        <v>4904.5</v>
      </c>
      <c r="J105" s="47">
        <f t="shared" si="6"/>
        <v>0</v>
      </c>
      <c r="K105" s="45"/>
      <c r="M105" s="48">
        <f t="shared" si="7"/>
        <v>0</v>
      </c>
      <c r="P105" s="48"/>
    </row>
    <row r="106" spans="1:16">
      <c r="A106" s="49" t="s">
        <v>46</v>
      </c>
      <c r="B106" s="56">
        <v>1320</v>
      </c>
      <c r="C106" s="50">
        <v>3561</v>
      </c>
      <c r="D106" s="50">
        <v>4315.96</v>
      </c>
      <c r="E106" s="50">
        <v>4315.96</v>
      </c>
      <c r="F106" s="50">
        <v>1079</v>
      </c>
      <c r="G106" s="50">
        <v>1079</v>
      </c>
      <c r="H106" s="50">
        <v>1079</v>
      </c>
      <c r="I106" s="50">
        <v>1079</v>
      </c>
      <c r="J106" s="47">
        <f t="shared" si="6"/>
        <v>-3.999999999996362E-2</v>
      </c>
      <c r="K106" s="45"/>
      <c r="M106" s="48">
        <f t="shared" si="7"/>
        <v>-3.999999999996362E-2</v>
      </c>
      <c r="P106" s="48"/>
    </row>
    <row r="107" spans="1:16">
      <c r="A107" s="49" t="s">
        <v>159</v>
      </c>
      <c r="B107" s="56">
        <v>1330</v>
      </c>
      <c r="C107" s="188">
        <v>3011</v>
      </c>
      <c r="D107" s="50">
        <v>2442</v>
      </c>
      <c r="E107" s="50">
        <v>2442</v>
      </c>
      <c r="F107" s="50">
        <v>611</v>
      </c>
      <c r="G107" s="50">
        <v>610</v>
      </c>
      <c r="H107" s="50">
        <v>610</v>
      </c>
      <c r="I107" s="50">
        <v>611</v>
      </c>
      <c r="J107" s="47">
        <f t="shared" si="6"/>
        <v>0</v>
      </c>
      <c r="K107" s="45"/>
      <c r="M107" s="48">
        <f t="shared" si="7"/>
        <v>0</v>
      </c>
      <c r="P107" s="48"/>
    </row>
    <row r="108" spans="1:16">
      <c r="A108" s="49" t="s">
        <v>160</v>
      </c>
      <c r="B108" s="56">
        <v>1340</v>
      </c>
      <c r="C108" s="67">
        <v>4564</v>
      </c>
      <c r="D108" s="50">
        <v>2247</v>
      </c>
      <c r="E108" s="50">
        <f>2247+5009</f>
        <v>7256</v>
      </c>
      <c r="F108" s="50">
        <f>561.75-273+137</f>
        <v>425.75</v>
      </c>
      <c r="G108" s="50">
        <f>562+137-1</f>
        <v>698</v>
      </c>
      <c r="H108" s="50">
        <f>5009+562+137-1</f>
        <v>5707</v>
      </c>
      <c r="I108" s="50">
        <f>561-137</f>
        <v>424</v>
      </c>
      <c r="J108" s="47">
        <f t="shared" si="6"/>
        <v>1.25</v>
      </c>
      <c r="K108" s="45"/>
      <c r="M108" s="48">
        <f t="shared" si="7"/>
        <v>1.25</v>
      </c>
      <c r="N108" s="185">
        <f>E108-D108</f>
        <v>5009</v>
      </c>
      <c r="P108" s="48"/>
    </row>
    <row r="109" spans="1:16" s="55" customFormat="1">
      <c r="A109" s="39" t="s">
        <v>161</v>
      </c>
      <c r="B109" s="53">
        <v>1350</v>
      </c>
      <c r="C109" s="63">
        <f>SUM(C103:C108)</f>
        <v>38235</v>
      </c>
      <c r="D109" s="63">
        <f>SUM(D103:D108)</f>
        <v>39207.96</v>
      </c>
      <c r="E109" s="63">
        <f t="shared" ref="E109:N109" si="13">SUM(E103:E108)</f>
        <v>44216.959999999999</v>
      </c>
      <c r="F109" s="63">
        <f t="shared" si="13"/>
        <v>9696.25</v>
      </c>
      <c r="G109" s="63">
        <f t="shared" si="13"/>
        <v>9908.5</v>
      </c>
      <c r="H109" s="63">
        <f>SUM(H103:H108)</f>
        <v>14917.5</v>
      </c>
      <c r="I109" s="63">
        <f t="shared" si="13"/>
        <v>9693.5</v>
      </c>
      <c r="J109" s="68">
        <f t="shared" si="13"/>
        <v>1.2100000000000364</v>
      </c>
      <c r="K109" s="68">
        <f t="shared" si="13"/>
        <v>0</v>
      </c>
      <c r="L109" s="68">
        <f t="shared" si="13"/>
        <v>0</v>
      </c>
      <c r="M109" s="68">
        <f t="shared" si="13"/>
        <v>1.2100000000000364</v>
      </c>
      <c r="N109" s="68">
        <f t="shared" si="13"/>
        <v>5009</v>
      </c>
    </row>
    <row r="110" spans="1:16">
      <c r="C110" s="69"/>
      <c r="E110" s="70"/>
      <c r="F110" s="70"/>
      <c r="G110" s="70"/>
      <c r="H110" s="70"/>
      <c r="I110" s="70"/>
      <c r="J110" s="71"/>
      <c r="K110" s="27"/>
      <c r="N110" s="185"/>
    </row>
    <row r="111" spans="1:16">
      <c r="C111" s="69"/>
      <c r="E111" s="48"/>
      <c r="F111" s="72"/>
      <c r="G111" s="72"/>
      <c r="H111" s="72"/>
      <c r="I111" s="72"/>
      <c r="J111" s="73"/>
    </row>
    <row r="112" spans="1:16" s="79" customFormat="1" ht="15">
      <c r="A112" s="74" t="s">
        <v>162</v>
      </c>
      <c r="B112" s="75"/>
      <c r="C112" s="228" t="s">
        <v>163</v>
      </c>
      <c r="D112" s="229"/>
      <c r="E112" s="229"/>
      <c r="F112" s="76"/>
      <c r="G112" s="230" t="s">
        <v>164</v>
      </c>
      <c r="H112" s="230"/>
      <c r="I112" s="230"/>
      <c r="J112" s="77"/>
      <c r="K112" s="78"/>
      <c r="N112" s="187"/>
    </row>
    <row r="113" spans="1:14" s="79" customFormat="1" ht="15">
      <c r="A113" s="74"/>
      <c r="B113" s="75"/>
      <c r="C113" s="190"/>
      <c r="D113" s="191"/>
      <c r="E113" s="191"/>
      <c r="F113" s="76"/>
      <c r="G113" s="80"/>
      <c r="H113" s="80"/>
      <c r="I113" s="80"/>
      <c r="J113" s="81"/>
      <c r="K113" s="82"/>
      <c r="N113" s="187"/>
    </row>
    <row r="114" spans="1:14" s="79" customFormat="1" ht="15">
      <c r="A114" s="74" t="s">
        <v>165</v>
      </c>
      <c r="B114" s="75"/>
      <c r="C114" s="228" t="s">
        <v>163</v>
      </c>
      <c r="D114" s="229"/>
      <c r="E114" s="229"/>
      <c r="F114" s="76"/>
      <c r="G114" s="230" t="s">
        <v>166</v>
      </c>
      <c r="H114" s="230"/>
      <c r="I114" s="230"/>
      <c r="J114" s="77"/>
      <c r="K114" s="78"/>
      <c r="N114" s="187"/>
    </row>
    <row r="115" spans="1:14" s="79" customFormat="1" ht="15">
      <c r="J115" s="22"/>
      <c r="K115" s="23"/>
      <c r="N115" s="187"/>
    </row>
    <row r="116" spans="1:14">
      <c r="E116" s="83"/>
      <c r="G116" s="48"/>
    </row>
    <row r="117" spans="1:14">
      <c r="G117" s="48"/>
    </row>
    <row r="118" spans="1:14">
      <c r="C118" s="84"/>
      <c r="G118" s="48"/>
      <c r="H118" s="48"/>
    </row>
    <row r="119" spans="1:14">
      <c r="C119" s="84"/>
      <c r="G119" s="48"/>
    </row>
  </sheetData>
  <mergeCells count="14">
    <mergeCell ref="A101:I101"/>
    <mergeCell ref="C112:E112"/>
    <mergeCell ref="G112:I112"/>
    <mergeCell ref="C114:E114"/>
    <mergeCell ref="G114:I114"/>
    <mergeCell ref="A1:I1"/>
    <mergeCell ref="G2:I2"/>
    <mergeCell ref="A3:I3"/>
    <mergeCell ref="A5:A6"/>
    <mergeCell ref="B5:B6"/>
    <mergeCell ref="C5:C6"/>
    <mergeCell ref="D5:D6"/>
    <mergeCell ref="E5:E6"/>
    <mergeCell ref="F5:I5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A2" sqref="A2:I2"/>
    </sheetView>
  </sheetViews>
  <sheetFormatPr defaultRowHeight="15"/>
  <cols>
    <col min="1" max="1" width="38.7109375" style="118" customWidth="1"/>
    <col min="2" max="2" width="6" style="118" customWidth="1"/>
    <col min="3" max="3" width="9.7109375" style="123" customWidth="1"/>
    <col min="4" max="9" width="9.7109375" style="118" customWidth="1"/>
    <col min="10" max="242" width="9.140625" style="118"/>
    <col min="243" max="243" width="38.7109375" style="118" customWidth="1"/>
    <col min="244" max="244" width="6" style="118" customWidth="1"/>
    <col min="245" max="251" width="9.7109375" style="118" customWidth="1"/>
    <col min="252" max="252" width="0" style="118" hidden="1" customWidth="1"/>
    <col min="253" max="16384" width="9.140625" style="118"/>
  </cols>
  <sheetData>
    <row r="1" spans="1:9" s="85" customFormat="1">
      <c r="G1" s="233" t="s">
        <v>167</v>
      </c>
      <c r="H1" s="233"/>
      <c r="I1" s="233"/>
    </row>
    <row r="2" spans="1:9" s="85" customFormat="1" ht="15.75">
      <c r="A2" s="234" t="s">
        <v>168</v>
      </c>
      <c r="B2" s="234"/>
      <c r="C2" s="234"/>
      <c r="D2" s="234"/>
      <c r="E2" s="234"/>
      <c r="F2" s="234"/>
      <c r="G2" s="234"/>
      <c r="H2" s="234"/>
      <c r="I2" s="234"/>
    </row>
    <row r="3" spans="1:9" s="85" customFormat="1" ht="12" customHeight="1">
      <c r="A3" s="86"/>
      <c r="B3" s="86"/>
      <c r="C3" s="86"/>
      <c r="D3" s="86"/>
      <c r="E3" s="86"/>
      <c r="F3" s="86"/>
      <c r="G3" s="86"/>
      <c r="H3" s="86"/>
      <c r="I3" s="86"/>
    </row>
    <row r="4" spans="1:9" s="87" customFormat="1" ht="15" customHeight="1">
      <c r="A4" s="221" t="s">
        <v>28</v>
      </c>
      <c r="B4" s="235" t="s">
        <v>29</v>
      </c>
      <c r="C4" s="223" t="s">
        <v>30</v>
      </c>
      <c r="D4" s="223" t="s">
        <v>31</v>
      </c>
      <c r="E4" s="225" t="s">
        <v>32</v>
      </c>
      <c r="F4" s="222" t="s">
        <v>33</v>
      </c>
      <c r="G4" s="222"/>
      <c r="H4" s="222"/>
      <c r="I4" s="222"/>
    </row>
    <row r="5" spans="1:9" s="88" customFormat="1" ht="57" customHeight="1">
      <c r="A5" s="221"/>
      <c r="B5" s="235"/>
      <c r="C5" s="224"/>
      <c r="D5" s="224"/>
      <c r="E5" s="226"/>
      <c r="F5" s="34" t="s">
        <v>34</v>
      </c>
      <c r="G5" s="34" t="s">
        <v>35</v>
      </c>
      <c r="H5" s="34" t="s">
        <v>36</v>
      </c>
      <c r="I5" s="34" t="s">
        <v>37</v>
      </c>
    </row>
    <row r="6" spans="1:9" s="88" customFormat="1" ht="12.75">
      <c r="A6" s="89">
        <v>1</v>
      </c>
      <c r="B6" s="90">
        <v>2</v>
      </c>
      <c r="C6" s="91">
        <v>3</v>
      </c>
      <c r="D6" s="90">
        <v>4</v>
      </c>
      <c r="E6" s="90">
        <v>6</v>
      </c>
      <c r="F6" s="90">
        <v>7</v>
      </c>
      <c r="G6" s="90">
        <v>8</v>
      </c>
      <c r="H6" s="90">
        <v>9</v>
      </c>
      <c r="I6" s="90">
        <v>10</v>
      </c>
    </row>
    <row r="7" spans="1:9" s="88" customFormat="1" ht="14.25">
      <c r="A7" s="236" t="s">
        <v>169</v>
      </c>
      <c r="B7" s="236"/>
      <c r="C7" s="236"/>
      <c r="D7" s="236"/>
      <c r="E7" s="236"/>
      <c r="F7" s="236"/>
      <c r="G7" s="236"/>
      <c r="H7" s="236"/>
      <c r="I7" s="236"/>
    </row>
    <row r="8" spans="1:9" s="88" customFormat="1" ht="45">
      <c r="A8" s="92" t="s">
        <v>170</v>
      </c>
      <c r="B8" s="93">
        <v>2000</v>
      </c>
      <c r="C8" s="94">
        <v>-1384</v>
      </c>
      <c r="D8" s="94">
        <v>-907</v>
      </c>
      <c r="E8" s="94">
        <v>-907</v>
      </c>
      <c r="F8" s="95">
        <f>E8</f>
        <v>-907</v>
      </c>
      <c r="G8" s="95">
        <f>F15</f>
        <v>-377</v>
      </c>
      <c r="H8" s="95">
        <f>G15</f>
        <v>-90</v>
      </c>
      <c r="I8" s="95">
        <f>H15</f>
        <v>137</v>
      </c>
    </row>
    <row r="9" spans="1:9" s="88" customFormat="1" ht="30">
      <c r="A9" s="96" t="s">
        <v>171</v>
      </c>
      <c r="B9" s="37">
        <v>2010</v>
      </c>
      <c r="C9" s="97"/>
      <c r="D9" s="98"/>
      <c r="E9" s="98"/>
      <c r="F9" s="99"/>
      <c r="G9" s="99"/>
      <c r="H9" s="99"/>
      <c r="I9" s="99"/>
    </row>
    <row r="10" spans="1:9" s="88" customFormat="1">
      <c r="A10" s="96" t="s">
        <v>172</v>
      </c>
      <c r="B10" s="37">
        <v>2030</v>
      </c>
      <c r="C10" s="97"/>
      <c r="D10" s="98"/>
      <c r="E10" s="98"/>
      <c r="F10" s="99"/>
      <c r="G10" s="99"/>
      <c r="H10" s="99"/>
      <c r="I10" s="99"/>
    </row>
    <row r="11" spans="1:9" s="88" customFormat="1" ht="30">
      <c r="A11" s="96" t="s">
        <v>173</v>
      </c>
      <c r="B11" s="37">
        <v>2031</v>
      </c>
      <c r="C11" s="97"/>
      <c r="D11" s="98"/>
      <c r="E11" s="98"/>
      <c r="F11" s="99"/>
      <c r="G11" s="99"/>
      <c r="H11" s="99"/>
      <c r="I11" s="99"/>
    </row>
    <row r="12" spans="1:9" s="88" customFormat="1">
      <c r="A12" s="96" t="s">
        <v>174</v>
      </c>
      <c r="B12" s="37">
        <v>2040</v>
      </c>
      <c r="C12" s="97"/>
      <c r="D12" s="98"/>
      <c r="E12" s="98"/>
      <c r="F12" s="99"/>
      <c r="G12" s="99"/>
      <c r="H12" s="99"/>
      <c r="I12" s="99"/>
    </row>
    <row r="13" spans="1:9" s="88" customFormat="1">
      <c r="A13" s="96" t="s">
        <v>175</v>
      </c>
      <c r="B13" s="37">
        <v>2050</v>
      </c>
      <c r="C13" s="97"/>
      <c r="D13" s="98"/>
      <c r="E13" s="98"/>
      <c r="F13" s="99"/>
      <c r="G13" s="99"/>
      <c r="H13" s="99"/>
      <c r="I13" s="99"/>
    </row>
    <row r="14" spans="1:9" s="88" customFormat="1">
      <c r="A14" s="96" t="s">
        <v>176</v>
      </c>
      <c r="B14" s="37">
        <v>2060</v>
      </c>
      <c r="C14" s="97"/>
      <c r="D14" s="98"/>
      <c r="E14" s="98"/>
      <c r="F14" s="99"/>
      <c r="G14" s="99"/>
      <c r="H14" s="99"/>
      <c r="I14" s="99"/>
    </row>
    <row r="15" spans="1:9" s="88" customFormat="1" ht="45">
      <c r="A15" s="92" t="s">
        <v>177</v>
      </c>
      <c r="B15" s="93">
        <v>2070</v>
      </c>
      <c r="C15" s="94">
        <v>-612</v>
      </c>
      <c r="D15" s="95">
        <f>1574-907</f>
        <v>667</v>
      </c>
      <c r="E15" s="95">
        <f>1574-907</f>
        <v>667</v>
      </c>
      <c r="F15" s="95">
        <f>-907+530</f>
        <v>-377</v>
      </c>
      <c r="G15" s="95">
        <f>-377+287</f>
        <v>-90</v>
      </c>
      <c r="H15" s="95">
        <f>-90+227</f>
        <v>137</v>
      </c>
      <c r="I15" s="95">
        <f>137+530</f>
        <v>667</v>
      </c>
    </row>
    <row r="16" spans="1:9" s="88" customFormat="1" ht="14.25">
      <c r="A16" s="236" t="s">
        <v>178</v>
      </c>
      <c r="B16" s="236"/>
      <c r="C16" s="236"/>
      <c r="D16" s="236"/>
      <c r="E16" s="236"/>
      <c r="F16" s="236"/>
      <c r="G16" s="236"/>
      <c r="H16" s="236"/>
      <c r="I16" s="236"/>
    </row>
    <row r="17" spans="1:9" s="88" customFormat="1" ht="42.75">
      <c r="A17" s="100" t="s">
        <v>179</v>
      </c>
      <c r="B17" s="101">
        <v>2110</v>
      </c>
      <c r="C17" s="102">
        <v>6177</v>
      </c>
      <c r="D17" s="102">
        <v>5780.9</v>
      </c>
      <c r="E17" s="102">
        <f>E19+E23</f>
        <v>5780.9</v>
      </c>
      <c r="F17" s="103">
        <f>E17/4</f>
        <v>1445.2249999999999</v>
      </c>
      <c r="G17" s="103">
        <f>E17/4</f>
        <v>1445.2249999999999</v>
      </c>
      <c r="H17" s="103">
        <f>E17/4</f>
        <v>1445.2249999999999</v>
      </c>
      <c r="I17" s="103">
        <f>E17/4</f>
        <v>1445.2249999999999</v>
      </c>
    </row>
    <row r="18" spans="1:9" s="88" customFormat="1">
      <c r="A18" s="49" t="s">
        <v>180</v>
      </c>
      <c r="B18" s="37">
        <v>2111</v>
      </c>
      <c r="C18" s="104"/>
      <c r="D18" s="67"/>
      <c r="E18" s="67"/>
      <c r="F18" s="99"/>
      <c r="G18" s="99"/>
      <c r="H18" s="99"/>
      <c r="I18" s="99"/>
    </row>
    <row r="19" spans="1:9" s="88" customFormat="1" ht="30">
      <c r="A19" s="49" t="s">
        <v>181</v>
      </c>
      <c r="B19" s="37">
        <v>2112</v>
      </c>
      <c r="C19" s="104">
        <v>5325</v>
      </c>
      <c r="D19" s="67">
        <v>4800</v>
      </c>
      <c r="E19" s="67">
        <f>F19+G19+H19+I19</f>
        <v>4800</v>
      </c>
      <c r="F19" s="99">
        <f>400*3</f>
        <v>1200</v>
      </c>
      <c r="G19" s="99">
        <f>400*3</f>
        <v>1200</v>
      </c>
      <c r="H19" s="99">
        <f>400*3</f>
        <v>1200</v>
      </c>
      <c r="I19" s="99">
        <f>400*3</f>
        <v>1200</v>
      </c>
    </row>
    <row r="20" spans="1:9" s="88" customFormat="1" ht="30">
      <c r="A20" s="96" t="s">
        <v>182</v>
      </c>
      <c r="B20" s="89">
        <v>2113</v>
      </c>
      <c r="C20" s="104"/>
      <c r="D20" s="67"/>
      <c r="E20" s="67"/>
      <c r="F20" s="99"/>
      <c r="G20" s="99"/>
      <c r="H20" s="99"/>
      <c r="I20" s="99"/>
    </row>
    <row r="21" spans="1:9" s="88" customFormat="1">
      <c r="A21" s="96" t="s">
        <v>183</v>
      </c>
      <c r="B21" s="89">
        <v>2114</v>
      </c>
      <c r="C21" s="104"/>
      <c r="D21" s="67"/>
      <c r="E21" s="67"/>
      <c r="F21" s="99"/>
      <c r="G21" s="99"/>
      <c r="H21" s="99"/>
      <c r="I21" s="99"/>
    </row>
    <row r="22" spans="1:9" s="88" customFormat="1">
      <c r="A22" s="96" t="s">
        <v>184</v>
      </c>
      <c r="B22" s="89">
        <v>2115</v>
      </c>
      <c r="C22" s="104"/>
      <c r="D22" s="67"/>
      <c r="E22" s="67"/>
      <c r="F22" s="99"/>
      <c r="G22" s="99"/>
      <c r="H22" s="99"/>
      <c r="I22" s="99"/>
    </row>
    <row r="23" spans="1:9" s="88" customFormat="1">
      <c r="A23" s="96" t="s">
        <v>185</v>
      </c>
      <c r="B23" s="89">
        <v>2116</v>
      </c>
      <c r="C23" s="67">
        <v>852</v>
      </c>
      <c r="D23" s="67">
        <v>980.90000000000009</v>
      </c>
      <c r="E23" s="67">
        <f>E24</f>
        <v>980.90000000000009</v>
      </c>
      <c r="F23" s="67">
        <f>F24</f>
        <v>245.22500000000002</v>
      </c>
      <c r="G23" s="67">
        <f>G24</f>
        <v>245</v>
      </c>
      <c r="H23" s="67">
        <f>H24</f>
        <v>245</v>
      </c>
      <c r="I23" s="67">
        <f>I24</f>
        <v>246</v>
      </c>
    </row>
    <row r="24" spans="1:9" s="88" customFormat="1">
      <c r="A24" s="96" t="s">
        <v>186</v>
      </c>
      <c r="B24" s="89" t="s">
        <v>187</v>
      </c>
      <c r="C24" s="104">
        <v>852</v>
      </c>
      <c r="D24" s="67">
        <v>980.90000000000009</v>
      </c>
      <c r="E24" s="67">
        <f>'[2]V ОП'!D10*0.05</f>
        <v>980.90000000000009</v>
      </c>
      <c r="F24" s="99">
        <f>E24/4</f>
        <v>245.22500000000002</v>
      </c>
      <c r="G24" s="99">
        <v>245</v>
      </c>
      <c r="H24" s="99">
        <v>245</v>
      </c>
      <c r="I24" s="99">
        <v>246</v>
      </c>
    </row>
    <row r="25" spans="1:9" s="88" customFormat="1" ht="42.75">
      <c r="A25" s="100" t="s">
        <v>188</v>
      </c>
      <c r="B25" s="105">
        <v>2120</v>
      </c>
      <c r="C25" s="102">
        <v>4680</v>
      </c>
      <c r="D25" s="102">
        <v>5431.24</v>
      </c>
      <c r="E25" s="102">
        <f>E26+E27+E28+E29</f>
        <v>5131.24</v>
      </c>
      <c r="F25" s="103">
        <f>E25/4</f>
        <v>1282.81</v>
      </c>
      <c r="G25" s="103">
        <f>E25/4</f>
        <v>1282.81</v>
      </c>
      <c r="H25" s="103">
        <f>E25/4</f>
        <v>1282.81</v>
      </c>
      <c r="I25" s="103">
        <f>E25/4</f>
        <v>1282.81</v>
      </c>
    </row>
    <row r="26" spans="1:9" s="88" customFormat="1">
      <c r="A26" s="96" t="s">
        <v>189</v>
      </c>
      <c r="B26" s="89">
        <v>2121</v>
      </c>
      <c r="C26" s="67">
        <v>3052</v>
      </c>
      <c r="D26" s="67">
        <v>3531.24</v>
      </c>
      <c r="E26" s="67">
        <f>'[2]V ОП'!D10*0.18</f>
        <v>3531.24</v>
      </c>
      <c r="F26" s="99">
        <f>E26/4</f>
        <v>882.81</v>
      </c>
      <c r="G26" s="99">
        <v>883</v>
      </c>
      <c r="H26" s="99">
        <v>883</v>
      </c>
      <c r="I26" s="99">
        <v>882</v>
      </c>
    </row>
    <row r="27" spans="1:9" s="88" customFormat="1">
      <c r="A27" s="96" t="s">
        <v>190</v>
      </c>
      <c r="B27" s="89">
        <v>2122</v>
      </c>
      <c r="C27" s="104">
        <v>5</v>
      </c>
      <c r="D27" s="67">
        <v>5</v>
      </c>
      <c r="E27" s="67">
        <v>5</v>
      </c>
      <c r="F27" s="99">
        <v>2</v>
      </c>
      <c r="G27" s="99">
        <v>1</v>
      </c>
      <c r="H27" s="99">
        <v>1</v>
      </c>
      <c r="I27" s="99">
        <v>1</v>
      </c>
    </row>
    <row r="28" spans="1:9" s="88" customFormat="1">
      <c r="A28" s="96" t="s">
        <v>112</v>
      </c>
      <c r="B28" s="89">
        <v>2123</v>
      </c>
      <c r="C28" s="104">
        <v>574</v>
      </c>
      <c r="D28" s="67">
        <v>385</v>
      </c>
      <c r="E28" s="67">
        <v>385</v>
      </c>
      <c r="F28" s="99">
        <f>E28/4</f>
        <v>96.25</v>
      </c>
      <c r="G28" s="99">
        <v>96</v>
      </c>
      <c r="H28" s="99">
        <v>96</v>
      </c>
      <c r="I28" s="99">
        <v>97</v>
      </c>
    </row>
    <row r="29" spans="1:9" s="88" customFormat="1">
      <c r="A29" s="92" t="s">
        <v>191</v>
      </c>
      <c r="B29" s="106">
        <v>2124</v>
      </c>
      <c r="C29" s="107">
        <v>1049</v>
      </c>
      <c r="D29" s="107">
        <v>1510</v>
      </c>
      <c r="E29" s="107">
        <f>E30+E31+E32+E33+E34+E35</f>
        <v>1210</v>
      </c>
      <c r="F29" s="107">
        <f>F30+F31+F32+F33+F34+F35</f>
        <v>378</v>
      </c>
      <c r="G29" s="107">
        <f>G30+G31+G32+G33+G34+G35</f>
        <v>277</v>
      </c>
      <c r="H29" s="107">
        <f>H30+H31+H32+H33+H34+H35</f>
        <v>278</v>
      </c>
      <c r="I29" s="107">
        <f>I30+I31+I32+I33+I34+I35</f>
        <v>277</v>
      </c>
    </row>
    <row r="30" spans="1:9" s="88" customFormat="1">
      <c r="A30" s="96" t="s">
        <v>192</v>
      </c>
      <c r="B30" s="89" t="s">
        <v>193</v>
      </c>
      <c r="C30" s="104">
        <v>853</v>
      </c>
      <c r="D30" s="67">
        <v>784</v>
      </c>
      <c r="E30" s="67">
        <v>784</v>
      </c>
      <c r="F30" s="99">
        <v>196</v>
      </c>
      <c r="G30" s="99">
        <v>196</v>
      </c>
      <c r="H30" s="99">
        <v>196</v>
      </c>
      <c r="I30" s="99">
        <v>196</v>
      </c>
    </row>
    <row r="31" spans="1:9" s="88" customFormat="1">
      <c r="A31" s="96" t="s">
        <v>194</v>
      </c>
      <c r="B31" s="89" t="s">
        <v>195</v>
      </c>
      <c r="C31" s="104"/>
      <c r="D31" s="67"/>
      <c r="E31" s="67"/>
      <c r="F31" s="99"/>
      <c r="G31" s="99"/>
      <c r="H31" s="99"/>
      <c r="I31" s="99"/>
    </row>
    <row r="32" spans="1:9" s="88" customFormat="1" ht="30">
      <c r="A32" s="108" t="s">
        <v>196</v>
      </c>
      <c r="B32" s="89" t="s">
        <v>197</v>
      </c>
      <c r="C32" s="104">
        <v>65</v>
      </c>
      <c r="D32" s="67">
        <v>54</v>
      </c>
      <c r="E32" s="67">
        <v>54</v>
      </c>
      <c r="F32" s="99">
        <v>14</v>
      </c>
      <c r="G32" s="99">
        <v>13</v>
      </c>
      <c r="H32" s="99">
        <v>14</v>
      </c>
      <c r="I32" s="99">
        <v>13</v>
      </c>
    </row>
    <row r="33" spans="1:9" s="88" customFormat="1">
      <c r="A33" s="49" t="s">
        <v>198</v>
      </c>
      <c r="B33" s="89" t="s">
        <v>199</v>
      </c>
      <c r="C33" s="104">
        <v>72</v>
      </c>
      <c r="D33" s="67">
        <v>400</v>
      </c>
      <c r="E33" s="67">
        <v>100</v>
      </c>
      <c r="F33" s="67">
        <v>100</v>
      </c>
      <c r="G33" s="67"/>
      <c r="H33" s="67"/>
      <c r="I33" s="67"/>
    </row>
    <row r="34" spans="1:9" s="88" customFormat="1">
      <c r="A34" s="96" t="s">
        <v>200</v>
      </c>
      <c r="B34" s="89" t="s">
        <v>201</v>
      </c>
      <c r="C34" s="104">
        <v>59</v>
      </c>
      <c r="D34" s="67">
        <v>272</v>
      </c>
      <c r="E34" s="67">
        <v>272</v>
      </c>
      <c r="F34" s="67">
        <v>68</v>
      </c>
      <c r="G34" s="67">
        <v>68</v>
      </c>
      <c r="H34" s="67">
        <v>68</v>
      </c>
      <c r="I34" s="67">
        <v>68</v>
      </c>
    </row>
    <row r="35" spans="1:9" s="88" customFormat="1">
      <c r="A35" s="96" t="s">
        <v>202</v>
      </c>
      <c r="B35" s="89" t="s">
        <v>203</v>
      </c>
      <c r="C35" s="104"/>
      <c r="D35" s="67"/>
      <c r="E35" s="67"/>
      <c r="F35" s="99"/>
      <c r="G35" s="99"/>
      <c r="H35" s="99"/>
      <c r="I35" s="99"/>
    </row>
    <row r="36" spans="1:9" s="88" customFormat="1" ht="28.5">
      <c r="A36" s="100" t="s">
        <v>204</v>
      </c>
      <c r="B36" s="105">
        <v>2130</v>
      </c>
      <c r="C36" s="102">
        <v>3562</v>
      </c>
      <c r="D36" s="102">
        <v>4315.96</v>
      </c>
      <c r="E36" s="102">
        <f>E37+E38+E39</f>
        <v>4315.96</v>
      </c>
      <c r="F36" s="103">
        <f>E36/4</f>
        <v>1078.99</v>
      </c>
      <c r="G36" s="103">
        <f>E36/4</f>
        <v>1078.99</v>
      </c>
      <c r="H36" s="103">
        <f>E36/4</f>
        <v>1078.99</v>
      </c>
      <c r="I36" s="103">
        <f>E36/4</f>
        <v>1078.99</v>
      </c>
    </row>
    <row r="37" spans="1:9" s="88" customFormat="1">
      <c r="A37" s="96" t="s">
        <v>205</v>
      </c>
      <c r="B37" s="89">
        <v>2131</v>
      </c>
      <c r="C37" s="104"/>
      <c r="D37" s="67"/>
      <c r="E37" s="67"/>
      <c r="F37" s="109"/>
      <c r="G37" s="109"/>
      <c r="H37" s="109"/>
      <c r="I37" s="109"/>
    </row>
    <row r="38" spans="1:9" s="88" customFormat="1" ht="30">
      <c r="A38" s="96" t="s">
        <v>206</v>
      </c>
      <c r="B38" s="89">
        <v>2132</v>
      </c>
      <c r="C38" s="67">
        <v>3562</v>
      </c>
      <c r="D38" s="67">
        <v>4315.96</v>
      </c>
      <c r="E38" s="67">
        <f>'[2]І Фін результат'!E106</f>
        <v>4315.96</v>
      </c>
      <c r="F38" s="67">
        <f>'[2]І Фін результат'!F106</f>
        <v>1079</v>
      </c>
      <c r="G38" s="67">
        <f>'[2]І Фін результат'!G106</f>
        <v>1079</v>
      </c>
      <c r="H38" s="67">
        <f>'[2]І Фін результат'!H106</f>
        <v>1079</v>
      </c>
      <c r="I38" s="67">
        <f>'[2]І Фін результат'!I106</f>
        <v>1079</v>
      </c>
    </row>
    <row r="39" spans="1:9" s="88" customFormat="1" ht="30">
      <c r="A39" s="96" t="s">
        <v>207</v>
      </c>
      <c r="B39" s="89">
        <v>2133</v>
      </c>
      <c r="C39" s="104"/>
      <c r="D39" s="67"/>
      <c r="E39" s="67"/>
      <c r="F39" s="109"/>
      <c r="G39" s="109"/>
      <c r="H39" s="109"/>
      <c r="I39" s="109"/>
    </row>
    <row r="40" spans="1:9" s="88" customFormat="1" ht="28.5">
      <c r="A40" s="100" t="s">
        <v>208</v>
      </c>
      <c r="B40" s="105">
        <v>2140</v>
      </c>
      <c r="C40" s="102"/>
      <c r="D40" s="102"/>
      <c r="E40" s="102"/>
      <c r="F40" s="103"/>
      <c r="G40" s="103"/>
      <c r="H40" s="103"/>
      <c r="I40" s="103"/>
    </row>
    <row r="41" spans="1:9" s="88" customFormat="1" ht="60">
      <c r="A41" s="96" t="s">
        <v>209</v>
      </c>
      <c r="B41" s="89">
        <v>2141</v>
      </c>
      <c r="C41" s="104"/>
      <c r="D41" s="67"/>
      <c r="E41" s="67"/>
      <c r="F41" s="109"/>
      <c r="G41" s="109"/>
      <c r="H41" s="109"/>
      <c r="I41" s="109"/>
    </row>
    <row r="42" spans="1:9" s="88" customFormat="1" ht="30">
      <c r="A42" s="96" t="s">
        <v>210</v>
      </c>
      <c r="B42" s="89">
        <v>2142</v>
      </c>
      <c r="C42" s="104"/>
      <c r="D42" s="67"/>
      <c r="E42" s="67"/>
      <c r="F42" s="109"/>
      <c r="G42" s="109"/>
      <c r="H42" s="109"/>
      <c r="I42" s="109"/>
    </row>
    <row r="43" spans="1:9" s="88" customFormat="1" ht="12.75" hidden="1">
      <c r="A43" s="110"/>
      <c r="B43" s="89"/>
      <c r="C43" s="111"/>
      <c r="D43" s="112"/>
      <c r="E43" s="112"/>
      <c r="F43" s="113">
        <f>E43/4</f>
        <v>0</v>
      </c>
      <c r="G43" s="112"/>
      <c r="H43" s="113">
        <f>E43/4</f>
        <v>0</v>
      </c>
      <c r="I43" s="112"/>
    </row>
    <row r="44" spans="1:9" s="88" customFormat="1" ht="12.75" hidden="1">
      <c r="A44" s="110"/>
      <c r="B44" s="89"/>
      <c r="C44" s="111"/>
      <c r="D44" s="112"/>
      <c r="E44" s="112"/>
      <c r="F44" s="113">
        <f>E44/4</f>
        <v>0</v>
      </c>
      <c r="G44" s="112"/>
      <c r="H44" s="113">
        <f>E44/4</f>
        <v>0</v>
      </c>
      <c r="I44" s="112"/>
    </row>
    <row r="45" spans="1:9" hidden="1">
      <c r="A45" s="114"/>
      <c r="B45" s="86"/>
      <c r="C45" s="115"/>
      <c r="D45" s="116"/>
      <c r="E45" s="117"/>
      <c r="F45" s="113">
        <f>E45/4</f>
        <v>0</v>
      </c>
      <c r="G45" s="116"/>
      <c r="H45" s="113">
        <f>E45/4</f>
        <v>0</v>
      </c>
      <c r="I45" s="116"/>
    </row>
    <row r="46" spans="1:9">
      <c r="A46" s="114"/>
      <c r="B46" s="114"/>
      <c r="C46" s="114"/>
      <c r="D46" s="114"/>
      <c r="E46" s="114"/>
      <c r="F46" s="114"/>
      <c r="G46" s="114"/>
      <c r="H46" s="114"/>
      <c r="I46" s="114"/>
    </row>
    <row r="47" spans="1:9">
      <c r="A47" s="74" t="s">
        <v>162</v>
      </c>
      <c r="B47" s="75"/>
      <c r="C47" s="231" t="s">
        <v>163</v>
      </c>
      <c r="D47" s="232"/>
      <c r="E47" s="232"/>
      <c r="F47" s="119"/>
      <c r="G47" s="230" t="s">
        <v>164</v>
      </c>
      <c r="H47" s="230"/>
      <c r="I47" s="230"/>
    </row>
    <row r="48" spans="1:9">
      <c r="A48" s="74"/>
      <c r="B48" s="75"/>
      <c r="C48" s="120"/>
      <c r="D48" s="121"/>
      <c r="E48" s="121"/>
      <c r="F48" s="119"/>
      <c r="G48" s="122"/>
      <c r="H48" s="122"/>
      <c r="I48" s="122"/>
    </row>
    <row r="49" spans="1:9">
      <c r="A49" s="74" t="s">
        <v>211</v>
      </c>
      <c r="B49" s="75"/>
      <c r="C49" s="231" t="s">
        <v>163</v>
      </c>
      <c r="D49" s="232"/>
      <c r="E49" s="232"/>
      <c r="F49" s="119"/>
      <c r="G49" s="230" t="s">
        <v>166</v>
      </c>
      <c r="H49" s="230"/>
      <c r="I49" s="230"/>
    </row>
    <row r="50" spans="1:9">
      <c r="A50" s="85"/>
      <c r="B50" s="85"/>
      <c r="D50" s="85"/>
      <c r="E50" s="85"/>
      <c r="F50" s="85"/>
      <c r="G50" s="85"/>
      <c r="H50" s="85"/>
      <c r="I50" s="85"/>
    </row>
  </sheetData>
  <mergeCells count="14">
    <mergeCell ref="A7:I7"/>
    <mergeCell ref="A16:I16"/>
    <mergeCell ref="C47:E47"/>
    <mergeCell ref="G47:I47"/>
    <mergeCell ref="C49:E49"/>
    <mergeCell ref="G49:I49"/>
    <mergeCell ref="G1:I1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7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A2" sqref="A2:I2"/>
    </sheetView>
  </sheetViews>
  <sheetFormatPr defaultColWidth="9.7109375" defaultRowHeight="15"/>
  <cols>
    <col min="1" max="1" width="36" style="85" customWidth="1"/>
    <col min="2" max="2" width="6.42578125" style="85" customWidth="1"/>
    <col min="3" max="5" width="10.28515625" style="85" customWidth="1"/>
    <col min="6" max="9" width="9.7109375" style="85" customWidth="1"/>
    <col min="10" max="249" width="9.140625" style="85" customWidth="1"/>
    <col min="250" max="250" width="36" style="85" customWidth="1"/>
    <col min="251" max="251" width="6.42578125" style="85" customWidth="1"/>
    <col min="252" max="254" width="10.28515625" style="85" customWidth="1"/>
    <col min="255" max="16384" width="9.7109375" style="85"/>
  </cols>
  <sheetData>
    <row r="1" spans="1:9">
      <c r="G1" s="233" t="s">
        <v>212</v>
      </c>
      <c r="H1" s="233"/>
      <c r="I1" s="233"/>
    </row>
    <row r="2" spans="1:9" ht="15.75">
      <c r="A2" s="237" t="s">
        <v>213</v>
      </c>
      <c r="B2" s="237"/>
      <c r="C2" s="237"/>
      <c r="D2" s="237"/>
      <c r="E2" s="237"/>
      <c r="F2" s="237"/>
      <c r="G2" s="237"/>
      <c r="H2" s="237"/>
      <c r="I2" s="237"/>
    </row>
    <row r="3" spans="1:9" ht="6" customHeight="1">
      <c r="A3" s="124"/>
      <c r="B3" s="124"/>
      <c r="C3" s="124"/>
      <c r="D3" s="124"/>
      <c r="E3" s="124"/>
      <c r="F3" s="124"/>
      <c r="G3" s="124"/>
      <c r="H3" s="124"/>
      <c r="I3" s="124"/>
    </row>
    <row r="4" spans="1:9" ht="18.75" customHeight="1">
      <c r="A4" s="238" t="s">
        <v>28</v>
      </c>
      <c r="B4" s="240" t="s">
        <v>214</v>
      </c>
      <c r="C4" s="223" t="s">
        <v>30</v>
      </c>
      <c r="D4" s="223" t="s">
        <v>31</v>
      </c>
      <c r="E4" s="225" t="s">
        <v>32</v>
      </c>
      <c r="F4" s="222" t="s">
        <v>33</v>
      </c>
      <c r="G4" s="222"/>
      <c r="H4" s="222"/>
      <c r="I4" s="222"/>
    </row>
    <row r="5" spans="1:9" ht="51" customHeight="1">
      <c r="A5" s="239"/>
      <c r="B5" s="240"/>
      <c r="C5" s="224"/>
      <c r="D5" s="224"/>
      <c r="E5" s="226"/>
      <c r="F5" s="34" t="s">
        <v>34</v>
      </c>
      <c r="G5" s="34" t="s">
        <v>35</v>
      </c>
      <c r="H5" s="34" t="s">
        <v>36</v>
      </c>
      <c r="I5" s="34" t="s">
        <v>37</v>
      </c>
    </row>
    <row r="6" spans="1:9" s="193" customFormat="1" ht="12.75">
      <c r="A6" s="38">
        <v>1</v>
      </c>
      <c r="B6" s="126">
        <v>2</v>
      </c>
      <c r="C6" s="126">
        <v>3</v>
      </c>
      <c r="D6" s="126">
        <v>4</v>
      </c>
      <c r="E6" s="126">
        <v>6</v>
      </c>
      <c r="F6" s="126">
        <v>7</v>
      </c>
      <c r="G6" s="126">
        <v>8</v>
      </c>
      <c r="H6" s="126">
        <v>9</v>
      </c>
      <c r="I6" s="126">
        <v>10</v>
      </c>
    </row>
    <row r="7" spans="1:9" ht="15.75" customHeight="1">
      <c r="A7" s="241" t="s">
        <v>215</v>
      </c>
      <c r="B7" s="242"/>
      <c r="C7" s="242"/>
      <c r="D7" s="242"/>
      <c r="E7" s="242"/>
      <c r="F7" s="242"/>
      <c r="G7" s="242"/>
      <c r="H7" s="242"/>
      <c r="I7" s="243"/>
    </row>
    <row r="8" spans="1:9" ht="28.5">
      <c r="A8" s="64" t="s">
        <v>216</v>
      </c>
      <c r="B8" s="194">
        <v>3000</v>
      </c>
      <c r="C8" s="167">
        <v>45135</v>
      </c>
      <c r="D8" s="65">
        <v>56531.4</v>
      </c>
      <c r="E8" s="65">
        <f>SUM(E9:E16)</f>
        <v>61772.4</v>
      </c>
      <c r="F8" s="65">
        <f>SUM(F9:F16)</f>
        <v>11721.6</v>
      </c>
      <c r="G8" s="65">
        <f>SUM(G9:G16)</f>
        <v>11954</v>
      </c>
      <c r="H8" s="65">
        <f>SUM(H9:H16)</f>
        <v>21876</v>
      </c>
      <c r="I8" s="65">
        <f>SUM(I9:I16)</f>
        <v>16221</v>
      </c>
    </row>
    <row r="9" spans="1:9" ht="30">
      <c r="A9" s="49" t="s">
        <v>217</v>
      </c>
      <c r="B9" s="56">
        <v>3010</v>
      </c>
      <c r="C9" s="128">
        <v>41712</v>
      </c>
      <c r="D9" s="67">
        <v>43602</v>
      </c>
      <c r="E9" s="67">
        <v>43602</v>
      </c>
      <c r="F9" s="67">
        <v>10900</v>
      </c>
      <c r="G9" s="67">
        <v>10900</v>
      </c>
      <c r="H9" s="67">
        <v>10901</v>
      </c>
      <c r="I9" s="67">
        <v>10901</v>
      </c>
    </row>
    <row r="10" spans="1:9" ht="30">
      <c r="A10" s="49" t="s">
        <v>218</v>
      </c>
      <c r="B10" s="56">
        <v>3020</v>
      </c>
      <c r="C10" s="195"/>
      <c r="D10" s="67"/>
      <c r="E10" s="67"/>
      <c r="F10" s="67"/>
      <c r="G10" s="67"/>
      <c r="H10" s="67"/>
      <c r="I10" s="67"/>
    </row>
    <row r="11" spans="1:9">
      <c r="A11" s="49" t="s">
        <v>219</v>
      </c>
      <c r="B11" s="56">
        <v>3021</v>
      </c>
      <c r="C11" s="195"/>
      <c r="D11" s="67"/>
      <c r="E11" s="67"/>
      <c r="F11" s="67"/>
      <c r="G11" s="67"/>
      <c r="H11" s="67"/>
      <c r="I11" s="67"/>
    </row>
    <row r="12" spans="1:9">
      <c r="A12" s="49" t="s">
        <v>220</v>
      </c>
      <c r="B12" s="56">
        <v>3030</v>
      </c>
      <c r="C12" s="128">
        <v>211</v>
      </c>
      <c r="D12" s="67">
        <v>9349</v>
      </c>
      <c r="E12" s="67">
        <f>4500+157+4500+192+5241</f>
        <v>14590</v>
      </c>
      <c r="F12" s="67">
        <v>48</v>
      </c>
      <c r="G12" s="67">
        <f>232+48</f>
        <v>280</v>
      </c>
      <c r="H12" s="67">
        <f>4705+5009</f>
        <v>9714</v>
      </c>
      <c r="I12" s="67">
        <f>4500+48</f>
        <v>4548</v>
      </c>
    </row>
    <row r="13" spans="1:9" ht="30">
      <c r="A13" s="49" t="s">
        <v>221</v>
      </c>
      <c r="B13" s="56">
        <v>3040</v>
      </c>
      <c r="C13" s="129">
        <v>25</v>
      </c>
      <c r="D13" s="67"/>
      <c r="E13" s="67"/>
      <c r="F13" s="67"/>
      <c r="G13" s="67"/>
      <c r="H13" s="67"/>
      <c r="I13" s="67"/>
    </row>
    <row r="14" spans="1:9" ht="30">
      <c r="A14" s="49" t="s">
        <v>222</v>
      </c>
      <c r="B14" s="56">
        <v>3050</v>
      </c>
      <c r="C14" s="195"/>
      <c r="D14" s="67"/>
      <c r="E14" s="67"/>
      <c r="F14" s="67"/>
      <c r="G14" s="67"/>
      <c r="H14" s="67"/>
      <c r="I14" s="67"/>
    </row>
    <row r="15" spans="1:9">
      <c r="A15" s="49" t="s">
        <v>223</v>
      </c>
      <c r="B15" s="56">
        <v>3055</v>
      </c>
      <c r="C15" s="128">
        <v>2508</v>
      </c>
      <c r="D15" s="67">
        <v>2662.3999999999996</v>
      </c>
      <c r="E15" s="67">
        <f>'[2]І Фін результат'!E68*1.2+638</f>
        <v>2662.3999999999996</v>
      </c>
      <c r="F15" s="67">
        <f>E15/4</f>
        <v>665.59999999999991</v>
      </c>
      <c r="G15" s="67">
        <v>666</v>
      </c>
      <c r="H15" s="67">
        <v>666</v>
      </c>
      <c r="I15" s="67">
        <v>665</v>
      </c>
    </row>
    <row r="16" spans="1:9">
      <c r="A16" s="49" t="s">
        <v>224</v>
      </c>
      <c r="B16" s="56">
        <v>3060</v>
      </c>
      <c r="C16" s="99">
        <v>679</v>
      </c>
      <c r="D16" s="67">
        <v>918</v>
      </c>
      <c r="E16" s="67">
        <f>E17+E18+E19+E20+E21+E22+E23</f>
        <v>918</v>
      </c>
      <c r="F16" s="67">
        <f>F17+F18+F19+F20+F21+F22+F23</f>
        <v>108</v>
      </c>
      <c r="G16" s="67">
        <f>G17+G18+G19+G20+G21+G22+G23</f>
        <v>108</v>
      </c>
      <c r="H16" s="67">
        <f>H17+H18+H19+H20+H21+H22+H23</f>
        <v>595</v>
      </c>
      <c r="I16" s="67">
        <f>I17+I18+I19+I20+I21+I22+I23</f>
        <v>107</v>
      </c>
    </row>
    <row r="17" spans="1:9">
      <c r="A17" s="49" t="s">
        <v>225</v>
      </c>
      <c r="B17" s="56" t="s">
        <v>226</v>
      </c>
      <c r="C17" s="129">
        <v>2</v>
      </c>
      <c r="D17" s="67"/>
      <c r="E17" s="67"/>
      <c r="F17" s="67"/>
      <c r="G17" s="67"/>
      <c r="H17" s="67"/>
      <c r="I17" s="67"/>
    </row>
    <row r="18" spans="1:9">
      <c r="A18" s="49" t="s">
        <v>227</v>
      </c>
      <c r="B18" s="56" t="s">
        <v>228</v>
      </c>
      <c r="C18" s="129">
        <v>316</v>
      </c>
      <c r="D18" s="67">
        <v>370</v>
      </c>
      <c r="E18" s="67">
        <v>370</v>
      </c>
      <c r="F18" s="67">
        <v>93</v>
      </c>
      <c r="G18" s="67">
        <v>93</v>
      </c>
      <c r="H18" s="67">
        <v>92</v>
      </c>
      <c r="I18" s="67">
        <v>92</v>
      </c>
    </row>
    <row r="19" spans="1:9">
      <c r="A19" s="49" t="s">
        <v>229</v>
      </c>
      <c r="B19" s="56" t="s">
        <v>230</v>
      </c>
      <c r="C19" s="129">
        <v>53</v>
      </c>
      <c r="D19" s="67"/>
      <c r="E19" s="67"/>
      <c r="F19" s="67"/>
      <c r="G19" s="67"/>
      <c r="H19" s="67"/>
      <c r="I19" s="67"/>
    </row>
    <row r="20" spans="1:9" ht="30">
      <c r="A20" s="49" t="s">
        <v>231</v>
      </c>
      <c r="B20" s="56" t="s">
        <v>232</v>
      </c>
      <c r="C20" s="195">
        <v>6</v>
      </c>
      <c r="D20" s="67"/>
      <c r="E20" s="67"/>
      <c r="F20" s="67"/>
      <c r="G20" s="67"/>
      <c r="H20" s="67"/>
      <c r="I20" s="67"/>
    </row>
    <row r="21" spans="1:9">
      <c r="A21" s="49" t="s">
        <v>233</v>
      </c>
      <c r="B21" s="56" t="s">
        <v>234</v>
      </c>
      <c r="C21" s="129">
        <v>237</v>
      </c>
      <c r="D21" s="67">
        <v>488</v>
      </c>
      <c r="E21" s="67">
        <v>488</v>
      </c>
      <c r="F21" s="67"/>
      <c r="G21" s="67"/>
      <c r="H21" s="67">
        <v>488</v>
      </c>
      <c r="I21" s="67"/>
    </row>
    <row r="22" spans="1:9">
      <c r="A22" s="49" t="s">
        <v>235</v>
      </c>
      <c r="B22" s="56" t="s">
        <v>236</v>
      </c>
      <c r="C22" s="129">
        <v>65</v>
      </c>
      <c r="D22" s="67">
        <v>60</v>
      </c>
      <c r="E22" s="67">
        <v>60</v>
      </c>
      <c r="F22" s="67">
        <f>E22/4</f>
        <v>15</v>
      </c>
      <c r="G22" s="67">
        <v>15</v>
      </c>
      <c r="H22" s="67">
        <v>15</v>
      </c>
      <c r="I22" s="67">
        <v>15</v>
      </c>
    </row>
    <row r="23" spans="1:9">
      <c r="A23" s="49" t="s">
        <v>237</v>
      </c>
      <c r="B23" s="56" t="s">
        <v>238</v>
      </c>
      <c r="C23" s="195"/>
      <c r="D23" s="67">
        <v>0</v>
      </c>
      <c r="E23" s="67">
        <v>0</v>
      </c>
      <c r="F23" s="67"/>
      <c r="G23" s="67"/>
      <c r="H23" s="67"/>
      <c r="I23" s="67"/>
    </row>
    <row r="24" spans="1:9" ht="28.5">
      <c r="A24" s="39" t="s">
        <v>239</v>
      </c>
      <c r="B24" s="53">
        <v>3100</v>
      </c>
      <c r="C24" s="109">
        <v>43851</v>
      </c>
      <c r="D24" s="65">
        <v>47403.96</v>
      </c>
      <c r="E24" s="65">
        <f>E25+E26+E30+E34+E37+E43</f>
        <v>52112.959999999999</v>
      </c>
      <c r="F24" s="65">
        <f>F25+F26+F30+F34+F37+F43</f>
        <v>11730.49</v>
      </c>
      <c r="G24" s="65">
        <f>G25+G26+G30+G34+G37+G43</f>
        <v>11628</v>
      </c>
      <c r="H24" s="65">
        <f>H25+H26+H30+H34+H37+H43</f>
        <v>17126</v>
      </c>
      <c r="I24" s="65">
        <f>I25+I26+I30+I34+I37+I43</f>
        <v>11629</v>
      </c>
    </row>
    <row r="25" spans="1:9" ht="30">
      <c r="A25" s="49" t="s">
        <v>240</v>
      </c>
      <c r="B25" s="56">
        <v>3110</v>
      </c>
      <c r="C25" s="99">
        <v>15991</v>
      </c>
      <c r="D25" s="67">
        <v>16043</v>
      </c>
      <c r="E25" s="67">
        <f>16043+5009</f>
        <v>21052</v>
      </c>
      <c r="F25" s="67">
        <v>4011</v>
      </c>
      <c r="G25" s="67">
        <v>4011</v>
      </c>
      <c r="H25" s="67">
        <f>4011+5009</f>
        <v>9020</v>
      </c>
      <c r="I25" s="67">
        <v>4010</v>
      </c>
    </row>
    <row r="26" spans="1:9">
      <c r="A26" s="49" t="s">
        <v>241</v>
      </c>
      <c r="B26" s="56">
        <v>3120</v>
      </c>
      <c r="C26" s="99">
        <v>16669</v>
      </c>
      <c r="D26" s="67">
        <v>19420.82</v>
      </c>
      <c r="E26" s="67">
        <f>E27+E28</f>
        <v>19420.82</v>
      </c>
      <c r="F26" s="67">
        <f>E26/4</f>
        <v>4855.2049999999999</v>
      </c>
      <c r="G26" s="67">
        <v>4855</v>
      </c>
      <c r="H26" s="67">
        <v>4855</v>
      </c>
      <c r="I26" s="67">
        <v>4856</v>
      </c>
    </row>
    <row r="27" spans="1:9">
      <c r="A27" s="49" t="s">
        <v>242</v>
      </c>
      <c r="B27" s="56" t="s">
        <v>243</v>
      </c>
      <c r="C27" s="99">
        <v>13107</v>
      </c>
      <c r="D27" s="67">
        <v>15104.86</v>
      </c>
      <c r="E27" s="67">
        <f>'[2]V ОП'!D10-E33-E36-1</f>
        <v>15104.86</v>
      </c>
      <c r="F27" s="67">
        <f>E27/4</f>
        <v>3776.2150000000001</v>
      </c>
      <c r="G27" s="67">
        <v>3776</v>
      </c>
      <c r="H27" s="67">
        <v>3776</v>
      </c>
      <c r="I27" s="67">
        <v>3777</v>
      </c>
    </row>
    <row r="28" spans="1:9">
      <c r="A28" s="49" t="s">
        <v>244</v>
      </c>
      <c r="B28" s="56" t="s">
        <v>245</v>
      </c>
      <c r="C28" s="99">
        <v>3562</v>
      </c>
      <c r="D28" s="67">
        <v>4315.96</v>
      </c>
      <c r="E28" s="67">
        <f>'[2]І Фін результат'!E106</f>
        <v>4315.96</v>
      </c>
      <c r="F28" s="67">
        <f>E28/4</f>
        <v>1078.99</v>
      </c>
      <c r="G28" s="67">
        <v>1079</v>
      </c>
      <c r="H28" s="67">
        <v>1079</v>
      </c>
      <c r="I28" s="67">
        <v>1079</v>
      </c>
    </row>
    <row r="29" spans="1:9" ht="30">
      <c r="A29" s="49" t="s">
        <v>246</v>
      </c>
      <c r="B29" s="56">
        <v>3130</v>
      </c>
      <c r="C29" s="99"/>
      <c r="D29" s="67"/>
      <c r="E29" s="67"/>
      <c r="F29" s="67"/>
      <c r="G29" s="67"/>
      <c r="H29" s="67"/>
      <c r="I29" s="67"/>
    </row>
    <row r="30" spans="1:9" ht="45">
      <c r="A30" s="49" t="s">
        <v>247</v>
      </c>
      <c r="B30" s="56">
        <v>3140</v>
      </c>
      <c r="C30" s="99">
        <v>8449</v>
      </c>
      <c r="D30" s="67">
        <v>8731.24</v>
      </c>
      <c r="E30" s="67">
        <f>SUM(E31:E33)</f>
        <v>8431.24</v>
      </c>
      <c r="F30" s="67">
        <f>SUM(F31:F33)</f>
        <v>2182.81</v>
      </c>
      <c r="G30" s="67">
        <f>SUM(G31:G33)</f>
        <v>2083</v>
      </c>
      <c r="H30" s="67">
        <f>SUM(H31:H33)</f>
        <v>2083</v>
      </c>
      <c r="I30" s="67">
        <f>SUM(I31:I33)</f>
        <v>2082</v>
      </c>
    </row>
    <row r="31" spans="1:9" ht="15" customHeight="1">
      <c r="A31" s="49" t="s">
        <v>248</v>
      </c>
      <c r="B31" s="37">
        <v>3141</v>
      </c>
      <c r="C31" s="128">
        <v>68</v>
      </c>
      <c r="D31" s="67">
        <v>400</v>
      </c>
      <c r="E31" s="67">
        <v>100</v>
      </c>
      <c r="F31" s="67">
        <f>'[2]ІІ Розр з бюджетом'!F33</f>
        <v>100</v>
      </c>
      <c r="G31" s="67"/>
      <c r="H31" s="67"/>
      <c r="I31" s="67"/>
    </row>
    <row r="32" spans="1:9">
      <c r="A32" s="49" t="s">
        <v>249</v>
      </c>
      <c r="B32" s="37">
        <v>3142</v>
      </c>
      <c r="C32" s="128">
        <v>5329</v>
      </c>
      <c r="D32" s="67">
        <v>4800</v>
      </c>
      <c r="E32" s="67">
        <f>'[2]ІІ Розр з бюджетом'!E19</f>
        <v>4800</v>
      </c>
      <c r="F32" s="67">
        <f>'[2]ІІ Розр з бюджетом'!F19</f>
        <v>1200</v>
      </c>
      <c r="G32" s="67">
        <f>'[2]ІІ Розр з бюджетом'!G19</f>
        <v>1200</v>
      </c>
      <c r="H32" s="67">
        <f>'[2]ІІ Розр з бюджетом'!H19</f>
        <v>1200</v>
      </c>
      <c r="I32" s="67">
        <f>'[2]ІІ Розр з бюджетом'!I19</f>
        <v>1200</v>
      </c>
    </row>
    <row r="33" spans="1:9">
      <c r="A33" s="49" t="s">
        <v>189</v>
      </c>
      <c r="B33" s="37">
        <v>3143</v>
      </c>
      <c r="C33" s="128">
        <v>3052</v>
      </c>
      <c r="D33" s="67">
        <v>3531.24</v>
      </c>
      <c r="E33" s="67">
        <f>'[2]ІІ Розр з бюджетом'!E26</f>
        <v>3531.24</v>
      </c>
      <c r="F33" s="67">
        <f>'[2]ІІ Розр з бюджетом'!F26</f>
        <v>882.81</v>
      </c>
      <c r="G33" s="67">
        <f>'[2]ІІ Розр з бюджетом'!G26</f>
        <v>883</v>
      </c>
      <c r="H33" s="67">
        <f>'[2]ІІ Розр з бюджетом'!H26</f>
        <v>883</v>
      </c>
      <c r="I33" s="67">
        <f>'[2]ІІ Розр з бюджетом'!I26</f>
        <v>882</v>
      </c>
    </row>
    <row r="34" spans="1:9" ht="28.5" customHeight="1">
      <c r="A34" s="49" t="s">
        <v>250</v>
      </c>
      <c r="B34" s="37">
        <v>3144</v>
      </c>
      <c r="C34" s="99">
        <v>911</v>
      </c>
      <c r="D34" s="67">
        <v>1252.9000000000001</v>
      </c>
      <c r="E34" s="67">
        <f>E35+E36</f>
        <v>1252.9000000000001</v>
      </c>
      <c r="F34" s="67">
        <f>F35+F36</f>
        <v>313.22500000000002</v>
      </c>
      <c r="G34" s="67">
        <f>G35+G36</f>
        <v>313</v>
      </c>
      <c r="H34" s="67">
        <f>H35+H36</f>
        <v>313</v>
      </c>
      <c r="I34" s="67">
        <f>I35+I36</f>
        <v>314</v>
      </c>
    </row>
    <row r="35" spans="1:9" ht="30" customHeight="1">
      <c r="A35" s="49" t="s">
        <v>251</v>
      </c>
      <c r="B35" s="37" t="s">
        <v>252</v>
      </c>
      <c r="C35" s="128">
        <v>59</v>
      </c>
      <c r="D35" s="67">
        <v>272</v>
      </c>
      <c r="E35" s="67">
        <f>'[2]ІІ Розр з бюджетом'!E34</f>
        <v>272</v>
      </c>
      <c r="F35" s="67">
        <f>'[2]ІІ Розр з бюджетом'!F34</f>
        <v>68</v>
      </c>
      <c r="G35" s="67">
        <f>'[2]ІІ Розр з бюджетом'!G34</f>
        <v>68</v>
      </c>
      <c r="H35" s="67">
        <f>'[2]ІІ Розр з бюджетом'!H34</f>
        <v>68</v>
      </c>
      <c r="I35" s="67">
        <f>'[2]ІІ Розр з бюджетом'!I34</f>
        <v>68</v>
      </c>
    </row>
    <row r="36" spans="1:9">
      <c r="A36" s="49" t="s">
        <v>186</v>
      </c>
      <c r="B36" s="37" t="s">
        <v>253</v>
      </c>
      <c r="C36" s="128">
        <v>852</v>
      </c>
      <c r="D36" s="67">
        <v>980.90000000000009</v>
      </c>
      <c r="E36" s="67">
        <f>'[2]ІІ Розр з бюджетом'!E24</f>
        <v>980.90000000000009</v>
      </c>
      <c r="F36" s="67">
        <f>'[2]ІІ Розр з бюджетом'!F24</f>
        <v>245.22500000000002</v>
      </c>
      <c r="G36" s="67">
        <f>'[2]ІІ Розр з бюджетом'!G24</f>
        <v>245</v>
      </c>
      <c r="H36" s="67">
        <f>'[2]ІІ Розр з бюджетом'!H24</f>
        <v>245</v>
      </c>
      <c r="I36" s="67">
        <f>'[2]ІІ Розр з бюджетом'!I24</f>
        <v>246</v>
      </c>
    </row>
    <row r="37" spans="1:9">
      <c r="A37" s="49" t="s">
        <v>254</v>
      </c>
      <c r="B37" s="37">
        <v>3150</v>
      </c>
      <c r="C37" s="99">
        <v>1497</v>
      </c>
      <c r="D37" s="67">
        <v>1228</v>
      </c>
      <c r="E37" s="67">
        <f>E38+E39+E40+E41</f>
        <v>1228</v>
      </c>
      <c r="F37" s="67">
        <f>F38+F39+F40+F41</f>
        <v>308.25</v>
      </c>
      <c r="G37" s="67">
        <f>G38+G39+G40+G41</f>
        <v>306</v>
      </c>
      <c r="H37" s="67">
        <f>H38+H39+H40+H41</f>
        <v>307</v>
      </c>
      <c r="I37" s="67">
        <f>I38+I39+I40+I41</f>
        <v>307</v>
      </c>
    </row>
    <row r="38" spans="1:9">
      <c r="A38" s="49" t="s">
        <v>255</v>
      </c>
      <c r="B38" s="37" t="s">
        <v>256</v>
      </c>
      <c r="C38" s="128">
        <v>5</v>
      </c>
      <c r="D38" s="67">
        <v>5</v>
      </c>
      <c r="E38" s="67">
        <f>'[2]ІІ Розр з бюджетом'!E27</f>
        <v>5</v>
      </c>
      <c r="F38" s="67">
        <f>'[2]ІІ Розр з бюджетом'!F27</f>
        <v>2</v>
      </c>
      <c r="G38" s="67">
        <f>'[2]ІІ Розр з бюджетом'!G27</f>
        <v>1</v>
      </c>
      <c r="H38" s="67">
        <f>'[2]ІІ Розр з бюджетом'!H27</f>
        <v>1</v>
      </c>
      <c r="I38" s="67">
        <f>'[2]ІІ Розр з бюджетом'!I27</f>
        <v>1</v>
      </c>
    </row>
    <row r="39" spans="1:9">
      <c r="A39" s="49" t="s">
        <v>192</v>
      </c>
      <c r="B39" s="37" t="s">
        <v>257</v>
      </c>
      <c r="C39" s="128">
        <v>853</v>
      </c>
      <c r="D39" s="67">
        <v>784</v>
      </c>
      <c r="E39" s="67">
        <f>'[2]ІІ Розр з бюджетом'!E30</f>
        <v>784</v>
      </c>
      <c r="F39" s="67">
        <f>'[2]ІІ Розр з бюджетом'!F30</f>
        <v>196</v>
      </c>
      <c r="G39" s="67">
        <f>'[2]ІІ Розр з бюджетом'!G30</f>
        <v>196</v>
      </c>
      <c r="H39" s="67">
        <f>'[2]ІІ Розр з бюджетом'!H30</f>
        <v>196</v>
      </c>
      <c r="I39" s="67">
        <f>'[2]ІІ Розр з бюджетом'!I30</f>
        <v>196</v>
      </c>
    </row>
    <row r="40" spans="1:9">
      <c r="A40" s="49" t="s">
        <v>258</v>
      </c>
      <c r="B40" s="37" t="s">
        <v>259</v>
      </c>
      <c r="C40" s="130">
        <v>574</v>
      </c>
      <c r="D40" s="67">
        <v>385</v>
      </c>
      <c r="E40" s="67">
        <f>'[2]ІІ Розр з бюджетом'!E28</f>
        <v>385</v>
      </c>
      <c r="F40" s="67">
        <f>'[2]ІІ Розр з бюджетом'!F28</f>
        <v>96.25</v>
      </c>
      <c r="G40" s="67">
        <f>'[2]ІІ Розр з бюджетом'!G28</f>
        <v>96</v>
      </c>
      <c r="H40" s="67">
        <f>'[2]ІІ Розр з бюджетом'!H28</f>
        <v>96</v>
      </c>
      <c r="I40" s="67">
        <f>'[2]ІІ Розр з бюджетом'!I28</f>
        <v>97</v>
      </c>
    </row>
    <row r="41" spans="1:9" ht="30">
      <c r="A41" s="49" t="s">
        <v>196</v>
      </c>
      <c r="B41" s="37" t="s">
        <v>260</v>
      </c>
      <c r="C41" s="130">
        <v>65</v>
      </c>
      <c r="D41" s="67">
        <v>54</v>
      </c>
      <c r="E41" s="67">
        <f>'[2]ІІ Розр з бюджетом'!E32</f>
        <v>54</v>
      </c>
      <c r="F41" s="67">
        <f>'[2]ІІ Розр з бюджетом'!F32</f>
        <v>14</v>
      </c>
      <c r="G41" s="67">
        <f>'[2]ІІ Розр з бюджетом'!G32</f>
        <v>13</v>
      </c>
      <c r="H41" s="67">
        <f>'[2]ІІ Розр з бюджетом'!H32</f>
        <v>14</v>
      </c>
      <c r="I41" s="67">
        <f>'[2]ІІ Розр з бюджетом'!I32</f>
        <v>13</v>
      </c>
    </row>
    <row r="42" spans="1:9">
      <c r="A42" s="49" t="s">
        <v>261</v>
      </c>
      <c r="B42" s="56">
        <v>3160</v>
      </c>
      <c r="C42" s="99"/>
      <c r="D42" s="67"/>
      <c r="E42" s="67"/>
      <c r="F42" s="67">
        <f>E42/4</f>
        <v>0</v>
      </c>
      <c r="G42" s="67">
        <f>E42/4</f>
        <v>0</v>
      </c>
      <c r="H42" s="67">
        <f>E42/4</f>
        <v>0</v>
      </c>
      <c r="I42" s="67">
        <f>E42/4</f>
        <v>0</v>
      </c>
    </row>
    <row r="43" spans="1:9">
      <c r="A43" s="49" t="s">
        <v>53</v>
      </c>
      <c r="B43" s="56">
        <v>3170</v>
      </c>
      <c r="C43" s="99">
        <v>334</v>
      </c>
      <c r="D43" s="67">
        <v>728</v>
      </c>
      <c r="E43" s="67">
        <f>E44+E45+E46+E47</f>
        <v>728</v>
      </c>
      <c r="F43" s="67">
        <f>F44+F45+F46+F47</f>
        <v>60</v>
      </c>
      <c r="G43" s="67">
        <f>G44+G45+G46+G47</f>
        <v>60</v>
      </c>
      <c r="H43" s="67">
        <f>H44+H45+H46+H47</f>
        <v>548</v>
      </c>
      <c r="I43" s="67">
        <f>I44+I45+I46+I47</f>
        <v>60</v>
      </c>
    </row>
    <row r="44" spans="1:9">
      <c r="A44" s="49" t="s">
        <v>262</v>
      </c>
      <c r="B44" s="56" t="s">
        <v>263</v>
      </c>
      <c r="C44" s="129">
        <v>237</v>
      </c>
      <c r="D44" s="67">
        <v>488</v>
      </c>
      <c r="E44" s="67">
        <v>488</v>
      </c>
      <c r="F44" s="67"/>
      <c r="G44" s="67"/>
      <c r="H44" s="67">
        <v>488</v>
      </c>
      <c r="I44" s="67"/>
    </row>
    <row r="45" spans="1:9">
      <c r="A45" s="49" t="s">
        <v>264</v>
      </c>
      <c r="B45" s="56" t="s">
        <v>265</v>
      </c>
      <c r="C45" s="129">
        <v>62</v>
      </c>
      <c r="D45" s="67">
        <v>60</v>
      </c>
      <c r="E45" s="67">
        <v>60</v>
      </c>
      <c r="F45" s="67">
        <f>E45/4</f>
        <v>15</v>
      </c>
      <c r="G45" s="67">
        <v>15</v>
      </c>
      <c r="H45" s="67">
        <v>15</v>
      </c>
      <c r="I45" s="67">
        <v>15</v>
      </c>
    </row>
    <row r="46" spans="1:9">
      <c r="A46" s="49" t="s">
        <v>266</v>
      </c>
      <c r="B46" s="56" t="s">
        <v>267</v>
      </c>
      <c r="C46" s="129">
        <v>29</v>
      </c>
      <c r="D46" s="67">
        <v>180</v>
      </c>
      <c r="E46" s="67">
        <v>180</v>
      </c>
      <c r="F46" s="67">
        <f>E46/4</f>
        <v>45</v>
      </c>
      <c r="G46" s="67">
        <v>45</v>
      </c>
      <c r="H46" s="67">
        <v>45</v>
      </c>
      <c r="I46" s="67">
        <v>45</v>
      </c>
    </row>
    <row r="47" spans="1:9" ht="30">
      <c r="A47" s="49" t="s">
        <v>268</v>
      </c>
      <c r="B47" s="56" t="s">
        <v>269</v>
      </c>
      <c r="C47" s="129">
        <v>6</v>
      </c>
      <c r="D47" s="67"/>
      <c r="E47" s="67"/>
      <c r="F47" s="67"/>
      <c r="G47" s="67"/>
      <c r="H47" s="67"/>
      <c r="I47" s="67"/>
    </row>
    <row r="48" spans="1:9" ht="28.5">
      <c r="A48" s="39" t="s">
        <v>270</v>
      </c>
      <c r="B48" s="53">
        <v>3195</v>
      </c>
      <c r="C48" s="109">
        <v>1284</v>
      </c>
      <c r="D48" s="109">
        <v>9127.4400000000023</v>
      </c>
      <c r="E48" s="109">
        <f>E8-E24</f>
        <v>9659.4400000000023</v>
      </c>
      <c r="F48" s="109">
        <f>F8-F24</f>
        <v>-8.8899999999994179</v>
      </c>
      <c r="G48" s="109">
        <f>G8-G24</f>
        <v>326</v>
      </c>
      <c r="H48" s="109">
        <f>H8-H24</f>
        <v>4750</v>
      </c>
      <c r="I48" s="109">
        <f>I8-I24</f>
        <v>4592</v>
      </c>
    </row>
    <row r="49" spans="1:9" ht="19.5" customHeight="1">
      <c r="A49" s="241" t="s">
        <v>271</v>
      </c>
      <c r="B49" s="244"/>
      <c r="C49" s="244"/>
      <c r="D49" s="244"/>
      <c r="E49" s="244"/>
      <c r="F49" s="244"/>
      <c r="G49" s="244"/>
      <c r="H49" s="244"/>
      <c r="I49" s="245"/>
    </row>
    <row r="50" spans="1:9" ht="28.5">
      <c r="A50" s="64" t="s">
        <v>272</v>
      </c>
      <c r="B50" s="194">
        <v>3200</v>
      </c>
      <c r="C50" s="196"/>
      <c r="D50" s="65"/>
      <c r="E50" s="65"/>
      <c r="F50" s="65"/>
      <c r="G50" s="65"/>
      <c r="H50" s="65"/>
      <c r="I50" s="65"/>
    </row>
    <row r="51" spans="1:9" ht="30">
      <c r="A51" s="49" t="s">
        <v>273</v>
      </c>
      <c r="B51" s="37">
        <v>3210</v>
      </c>
      <c r="C51" s="196"/>
      <c r="D51" s="67"/>
      <c r="E51" s="67"/>
      <c r="F51" s="67"/>
      <c r="G51" s="67"/>
      <c r="H51" s="67"/>
      <c r="I51" s="67"/>
    </row>
    <row r="52" spans="1:9" ht="30">
      <c r="A52" s="49" t="s">
        <v>274</v>
      </c>
      <c r="B52" s="56">
        <v>3220</v>
      </c>
      <c r="C52" s="196"/>
      <c r="D52" s="67"/>
      <c r="E52" s="67"/>
      <c r="F52" s="67"/>
      <c r="G52" s="67"/>
      <c r="H52" s="67"/>
      <c r="I52" s="67"/>
    </row>
    <row r="53" spans="1:9">
      <c r="A53" s="49" t="s">
        <v>275</v>
      </c>
      <c r="B53" s="56">
        <v>3230</v>
      </c>
      <c r="C53" s="196"/>
      <c r="D53" s="67"/>
      <c r="E53" s="67"/>
      <c r="F53" s="67"/>
      <c r="G53" s="67"/>
      <c r="H53" s="67"/>
      <c r="I53" s="67"/>
    </row>
    <row r="54" spans="1:9" ht="28.5">
      <c r="A54" s="39" t="s">
        <v>276</v>
      </c>
      <c r="B54" s="53">
        <v>3255</v>
      </c>
      <c r="C54" s="131">
        <v>1035</v>
      </c>
      <c r="D54" s="65">
        <v>9157</v>
      </c>
      <c r="E54" s="65">
        <f>E55+E59</f>
        <v>9389</v>
      </c>
      <c r="F54" s="67"/>
      <c r="G54" s="67">
        <v>232</v>
      </c>
      <c r="H54" s="67">
        <v>4657</v>
      </c>
      <c r="I54" s="67">
        <f>I55</f>
        <v>4500</v>
      </c>
    </row>
    <row r="55" spans="1:9" ht="30">
      <c r="A55" s="49" t="s">
        <v>277</v>
      </c>
      <c r="B55" s="56">
        <v>3260</v>
      </c>
      <c r="C55" s="131">
        <v>1035</v>
      </c>
      <c r="D55" s="67">
        <v>9157</v>
      </c>
      <c r="E55" s="67">
        <f>4500+4500+157</f>
        <v>9157</v>
      </c>
      <c r="F55" s="67"/>
      <c r="G55" s="67"/>
      <c r="H55" s="67">
        <f>4500+157</f>
        <v>4657</v>
      </c>
      <c r="I55" s="67">
        <f>4500</f>
        <v>4500</v>
      </c>
    </row>
    <row r="56" spans="1:9" ht="30">
      <c r="A56" s="49" t="s">
        <v>278</v>
      </c>
      <c r="B56" s="56">
        <v>3265</v>
      </c>
      <c r="C56" s="196"/>
      <c r="D56" s="67"/>
      <c r="E56" s="67">
        <v>232</v>
      </c>
      <c r="F56" s="67"/>
      <c r="G56" s="67">
        <v>232</v>
      </c>
      <c r="H56" s="67"/>
      <c r="I56" s="67"/>
    </row>
    <row r="57" spans="1:9" ht="45">
      <c r="A57" s="197" t="s">
        <v>279</v>
      </c>
      <c r="B57" s="56" t="s">
        <v>280</v>
      </c>
      <c r="C57" s="196"/>
      <c r="D57" s="67"/>
      <c r="E57" s="67"/>
      <c r="F57" s="67">
        <f>E57/4</f>
        <v>0</v>
      </c>
      <c r="G57" s="67">
        <f>E57/4</f>
        <v>0</v>
      </c>
      <c r="H57" s="67">
        <f>E57/4</f>
        <v>0</v>
      </c>
      <c r="I57" s="67"/>
    </row>
    <row r="58" spans="1:9" ht="60">
      <c r="A58" s="197" t="s">
        <v>281</v>
      </c>
      <c r="B58" s="56" t="s">
        <v>282</v>
      </c>
      <c r="C58" s="196"/>
      <c r="D58" s="67"/>
      <c r="E58" s="67"/>
      <c r="F58" s="67">
        <f>E58/4</f>
        <v>0</v>
      </c>
      <c r="G58" s="67">
        <f>E58/4</f>
        <v>0</v>
      </c>
      <c r="H58" s="67">
        <f>E58/4</f>
        <v>0</v>
      </c>
      <c r="I58" s="67"/>
    </row>
    <row r="59" spans="1:9" ht="45">
      <c r="A59" s="197" t="s">
        <v>283</v>
      </c>
      <c r="B59" s="56" t="s">
        <v>284</v>
      </c>
      <c r="C59" s="196"/>
      <c r="D59" s="67"/>
      <c r="E59" s="67">
        <v>232</v>
      </c>
      <c r="F59" s="67"/>
      <c r="G59" s="67">
        <v>232</v>
      </c>
      <c r="H59" s="67">
        <f>E59-232</f>
        <v>0</v>
      </c>
      <c r="I59" s="67"/>
    </row>
    <row r="60" spans="1:9" ht="45">
      <c r="A60" s="49" t="s">
        <v>285</v>
      </c>
      <c r="B60" s="56">
        <v>3270</v>
      </c>
      <c r="C60" s="196"/>
      <c r="D60" s="67"/>
      <c r="E60" s="67"/>
      <c r="F60" s="67"/>
      <c r="G60" s="67"/>
      <c r="H60" s="67"/>
      <c r="I60" s="67"/>
    </row>
    <row r="61" spans="1:9">
      <c r="A61" s="49" t="s">
        <v>53</v>
      </c>
      <c r="B61" s="56">
        <v>3280</v>
      </c>
      <c r="C61" s="196"/>
      <c r="D61" s="67"/>
      <c r="E61" s="67"/>
      <c r="F61" s="99"/>
      <c r="G61" s="99"/>
      <c r="H61" s="99"/>
      <c r="I61" s="99"/>
    </row>
    <row r="62" spans="1:9" ht="28.5">
      <c r="A62" s="198" t="s">
        <v>286</v>
      </c>
      <c r="B62" s="199">
        <v>3295</v>
      </c>
      <c r="C62" s="200">
        <v>-1035</v>
      </c>
      <c r="D62" s="109">
        <v>-9157</v>
      </c>
      <c r="E62" s="109">
        <v>-9389</v>
      </c>
      <c r="F62" s="99">
        <v>0</v>
      </c>
      <c r="G62" s="99">
        <v>-232</v>
      </c>
      <c r="H62" s="99">
        <v>-4657</v>
      </c>
      <c r="I62" s="99">
        <v>-4500</v>
      </c>
    </row>
    <row r="63" spans="1:9">
      <c r="A63" s="39" t="s">
        <v>287</v>
      </c>
      <c r="B63" s="53">
        <v>3400</v>
      </c>
      <c r="C63" s="201">
        <v>249</v>
      </c>
      <c r="D63" s="109">
        <v>-29.559999999997672</v>
      </c>
      <c r="E63" s="109">
        <f>E62+E48</f>
        <v>270.44000000000233</v>
      </c>
      <c r="F63" s="109">
        <f>F62+F48</f>
        <v>-8.8899999999994179</v>
      </c>
      <c r="G63" s="109">
        <f>G62+G48</f>
        <v>94</v>
      </c>
      <c r="H63" s="109">
        <f>H62+H48</f>
        <v>93</v>
      </c>
      <c r="I63" s="109">
        <f>I62+I48</f>
        <v>92</v>
      </c>
    </row>
    <row r="64" spans="1:9">
      <c r="A64" s="49" t="s">
        <v>288</v>
      </c>
      <c r="B64" s="56">
        <v>3405</v>
      </c>
      <c r="C64" s="202">
        <v>2911</v>
      </c>
      <c r="D64" s="67">
        <v>2902</v>
      </c>
      <c r="E64" s="67">
        <v>2902</v>
      </c>
      <c r="F64" s="67">
        <f>E64</f>
        <v>2902</v>
      </c>
      <c r="G64" s="67">
        <f>F65</f>
        <v>2893.1100000000006</v>
      </c>
      <c r="H64" s="67">
        <f>G65</f>
        <v>2987.1100000000006</v>
      </c>
      <c r="I64" s="67">
        <f>H65</f>
        <v>3080.1100000000006</v>
      </c>
    </row>
    <row r="65" spans="1:9">
      <c r="A65" s="49" t="s">
        <v>289</v>
      </c>
      <c r="B65" s="56">
        <v>3415</v>
      </c>
      <c r="C65" s="203">
        <v>3160</v>
      </c>
      <c r="D65" s="67">
        <v>2872.4400000000023</v>
      </c>
      <c r="E65" s="67">
        <f>E63+E64</f>
        <v>3172.4400000000023</v>
      </c>
      <c r="F65" s="67">
        <f>F64+F63</f>
        <v>2893.1100000000006</v>
      </c>
      <c r="G65" s="67">
        <f>G64+G63</f>
        <v>2987.1100000000006</v>
      </c>
      <c r="H65" s="67">
        <f>H64+H63</f>
        <v>3080.1100000000006</v>
      </c>
      <c r="I65" s="67">
        <f>I64+I63</f>
        <v>3172.1100000000006</v>
      </c>
    </row>
    <row r="66" spans="1:9">
      <c r="A66" s="132"/>
      <c r="B66" s="133"/>
      <c r="C66" s="134"/>
      <c r="D66" s="135"/>
      <c r="E66" s="136"/>
      <c r="F66" s="135"/>
      <c r="G66" s="135"/>
      <c r="H66" s="135"/>
      <c r="I66" s="135"/>
    </row>
    <row r="67" spans="1:9">
      <c r="A67" s="132"/>
      <c r="B67" s="133"/>
      <c r="C67" s="134"/>
      <c r="D67" s="135"/>
      <c r="E67" s="136"/>
      <c r="F67" s="135"/>
      <c r="G67" s="135"/>
      <c r="H67" s="135"/>
      <c r="I67" s="135"/>
    </row>
    <row r="68" spans="1:9" ht="15" customHeight="1">
      <c r="A68" s="74" t="s">
        <v>162</v>
      </c>
      <c r="B68" s="75"/>
      <c r="C68" s="228" t="s">
        <v>290</v>
      </c>
      <c r="D68" s="228"/>
      <c r="E68" s="228"/>
      <c r="F68" s="119"/>
      <c r="G68" s="230" t="s">
        <v>164</v>
      </c>
      <c r="H68" s="230"/>
      <c r="I68" s="230"/>
    </row>
    <row r="69" spans="1:9">
      <c r="A69" s="74"/>
      <c r="B69" s="75"/>
      <c r="C69" s="190"/>
      <c r="D69" s="190"/>
      <c r="E69" s="190"/>
      <c r="F69" s="119"/>
      <c r="G69" s="122"/>
      <c r="H69" s="122"/>
      <c r="I69" s="122"/>
    </row>
    <row r="70" spans="1:9" ht="15" customHeight="1">
      <c r="A70" s="74" t="s">
        <v>165</v>
      </c>
      <c r="B70" s="75"/>
      <c r="C70" s="228" t="s">
        <v>290</v>
      </c>
      <c r="D70" s="228"/>
      <c r="E70" s="228"/>
      <c r="F70" s="119"/>
      <c r="G70" s="230" t="s">
        <v>166</v>
      </c>
      <c r="H70" s="230"/>
      <c r="I70" s="230"/>
    </row>
    <row r="72" spans="1:9">
      <c r="C72" s="137"/>
    </row>
  </sheetData>
  <mergeCells count="14">
    <mergeCell ref="A7:I7"/>
    <mergeCell ref="A49:I49"/>
    <mergeCell ref="C68:E68"/>
    <mergeCell ref="G68:I68"/>
    <mergeCell ref="C70:E70"/>
    <mergeCell ref="G70:I70"/>
    <mergeCell ref="G1:I1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7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"/>
  <sheetViews>
    <sheetView workbookViewId="0">
      <selection activeCell="A2" sqref="A2:I2"/>
    </sheetView>
  </sheetViews>
  <sheetFormatPr defaultColWidth="9.7109375" defaultRowHeight="15"/>
  <cols>
    <col min="1" max="1" width="36.5703125" style="118" customWidth="1"/>
    <col min="2" max="2" width="6.140625" style="118" bestFit="1" customWidth="1"/>
    <col min="3" max="3" width="10.7109375" style="123" customWidth="1"/>
    <col min="4" max="5" width="10.7109375" style="118" customWidth="1"/>
    <col min="6" max="9" width="9.7109375" style="118" customWidth="1"/>
    <col min="10" max="249" width="9.140625" style="118" customWidth="1"/>
    <col min="250" max="250" width="36.5703125" style="118" customWidth="1"/>
    <col min="251" max="251" width="6.140625" style="118" bestFit="1" customWidth="1"/>
    <col min="252" max="16384" width="9.7109375" style="118"/>
  </cols>
  <sheetData>
    <row r="1" spans="1:9">
      <c r="G1" s="246" t="s">
        <v>291</v>
      </c>
      <c r="H1" s="246"/>
      <c r="I1" s="246"/>
    </row>
    <row r="2" spans="1:9" ht="15.75">
      <c r="A2" s="237" t="s">
        <v>292</v>
      </c>
      <c r="B2" s="237"/>
      <c r="C2" s="237"/>
      <c r="D2" s="237"/>
      <c r="E2" s="237"/>
      <c r="F2" s="237"/>
      <c r="G2" s="237"/>
      <c r="H2" s="237"/>
      <c r="I2" s="237"/>
    </row>
    <row r="3" spans="1:9">
      <c r="A3" s="122"/>
      <c r="B3" s="122"/>
      <c r="C3" s="122"/>
      <c r="D3" s="122"/>
      <c r="E3" s="122"/>
      <c r="F3" s="122"/>
      <c r="G3" s="122"/>
      <c r="H3" s="122"/>
      <c r="I3" s="122"/>
    </row>
    <row r="4" spans="1:9">
      <c r="A4" s="250" t="s">
        <v>28</v>
      </c>
      <c r="B4" s="225" t="s">
        <v>29</v>
      </c>
      <c r="C4" s="223" t="s">
        <v>30</v>
      </c>
      <c r="D4" s="223" t="s">
        <v>31</v>
      </c>
      <c r="E4" s="225" t="s">
        <v>32</v>
      </c>
      <c r="F4" s="247" t="s">
        <v>33</v>
      </c>
      <c r="G4" s="248"/>
      <c r="H4" s="248"/>
      <c r="I4" s="249"/>
    </row>
    <row r="5" spans="1:9" ht="42.75" customHeight="1">
      <c r="A5" s="251"/>
      <c r="B5" s="251"/>
      <c r="C5" s="224"/>
      <c r="D5" s="224"/>
      <c r="E5" s="226"/>
      <c r="F5" s="34" t="s">
        <v>34</v>
      </c>
      <c r="G5" s="34" t="s">
        <v>35</v>
      </c>
      <c r="H5" s="34" t="s">
        <v>36</v>
      </c>
      <c r="I5" s="34" t="s">
        <v>37</v>
      </c>
    </row>
    <row r="6" spans="1:9" s="88" customFormat="1" ht="12.75">
      <c r="A6" s="37">
        <v>1</v>
      </c>
      <c r="B6" s="38">
        <v>2</v>
      </c>
      <c r="C6" s="125">
        <v>3</v>
      </c>
      <c r="D6" s="38">
        <v>4</v>
      </c>
      <c r="E6" s="38">
        <v>6</v>
      </c>
      <c r="F6" s="38">
        <v>7</v>
      </c>
      <c r="G6" s="38">
        <v>8</v>
      </c>
      <c r="H6" s="38">
        <v>9</v>
      </c>
      <c r="I6" s="38">
        <v>10</v>
      </c>
    </row>
    <row r="7" spans="1:9" ht="28.5">
      <c r="A7" s="39" t="s">
        <v>293</v>
      </c>
      <c r="B7" s="139">
        <v>4000</v>
      </c>
      <c r="C7" s="184">
        <f>SUM(C8:C13)</f>
        <v>1035</v>
      </c>
      <c r="D7" s="140">
        <v>9157</v>
      </c>
      <c r="E7" s="140">
        <f>E9+E13</f>
        <v>9389</v>
      </c>
      <c r="F7" s="98"/>
      <c r="G7" s="98">
        <v>232</v>
      </c>
      <c r="H7" s="98">
        <f>H9+H13</f>
        <v>4657</v>
      </c>
      <c r="I7" s="141">
        <f>I9</f>
        <v>4500</v>
      </c>
    </row>
    <row r="8" spans="1:9">
      <c r="A8" s="49" t="s">
        <v>294</v>
      </c>
      <c r="B8" s="142" t="s">
        <v>295</v>
      </c>
      <c r="C8" s="143"/>
      <c r="D8" s="144"/>
      <c r="E8" s="144"/>
      <c r="F8" s="98"/>
      <c r="G8" s="98"/>
      <c r="H8" s="141"/>
      <c r="I8" s="141"/>
    </row>
    <row r="9" spans="1:9" ht="30">
      <c r="A9" s="49" t="s">
        <v>296</v>
      </c>
      <c r="B9" s="145">
        <v>4020</v>
      </c>
      <c r="C9" s="146">
        <v>279</v>
      </c>
      <c r="D9" s="144">
        <v>9157</v>
      </c>
      <c r="E9" s="144">
        <f>'[2]ІІІ Рух грошових коштів'!E55</f>
        <v>9157</v>
      </c>
      <c r="F9" s="98"/>
      <c r="G9" s="98"/>
      <c r="H9" s="141">
        <v>4657</v>
      </c>
      <c r="I9" s="141">
        <v>4500</v>
      </c>
    </row>
    <row r="10" spans="1:9" ht="30">
      <c r="A10" s="49" t="s">
        <v>297</v>
      </c>
      <c r="B10" s="142">
        <v>4030</v>
      </c>
      <c r="C10" s="146"/>
      <c r="D10" s="141"/>
      <c r="E10" s="144"/>
      <c r="F10" s="144"/>
      <c r="G10" s="178"/>
      <c r="H10" s="148"/>
      <c r="I10" s="148"/>
    </row>
    <row r="11" spans="1:9" ht="30">
      <c r="A11" s="49" t="s">
        <v>298</v>
      </c>
      <c r="B11" s="145">
        <v>4040</v>
      </c>
      <c r="C11" s="149"/>
      <c r="D11" s="141"/>
      <c r="E11" s="144"/>
      <c r="F11" s="144"/>
      <c r="G11" s="178"/>
      <c r="H11" s="148"/>
      <c r="I11" s="148"/>
    </row>
    <row r="12" spans="1:9" ht="45">
      <c r="A12" s="49" t="s">
        <v>299</v>
      </c>
      <c r="B12" s="142">
        <v>4050</v>
      </c>
      <c r="C12" s="149"/>
      <c r="D12" s="141"/>
      <c r="E12" s="144"/>
      <c r="F12" s="144"/>
      <c r="G12" s="144"/>
      <c r="H12" s="147"/>
      <c r="I12" s="147"/>
    </row>
    <row r="13" spans="1:9">
      <c r="A13" s="49" t="s">
        <v>300</v>
      </c>
      <c r="B13" s="150">
        <v>4060</v>
      </c>
      <c r="C13" s="143">
        <v>756</v>
      </c>
      <c r="D13" s="141"/>
      <c r="E13" s="144">
        <v>232</v>
      </c>
      <c r="F13" s="144"/>
      <c r="G13" s="144">
        <v>232</v>
      </c>
      <c r="H13" s="144"/>
      <c r="I13" s="151"/>
    </row>
    <row r="14" spans="1:9">
      <c r="A14" s="85"/>
      <c r="B14" s="85"/>
      <c r="D14" s="85"/>
      <c r="E14" s="85"/>
      <c r="F14" s="85"/>
      <c r="G14" s="85"/>
      <c r="H14" s="85"/>
      <c r="I14" s="85"/>
    </row>
    <row r="16" spans="1:9">
      <c r="A16" s="74" t="s">
        <v>162</v>
      </c>
      <c r="B16" s="75"/>
      <c r="C16" s="228" t="s">
        <v>290</v>
      </c>
      <c r="D16" s="228"/>
      <c r="E16" s="228"/>
      <c r="F16" s="119"/>
      <c r="G16" s="230" t="s">
        <v>164</v>
      </c>
      <c r="H16" s="230"/>
      <c r="I16" s="230"/>
    </row>
    <row r="17" spans="1:9">
      <c r="A17" s="152"/>
      <c r="B17" s="122"/>
      <c r="C17" s="252"/>
      <c r="D17" s="252"/>
      <c r="E17" s="252"/>
      <c r="F17" s="153"/>
      <c r="G17" s="253"/>
      <c r="H17" s="253"/>
      <c r="I17" s="253"/>
    </row>
    <row r="18" spans="1:9">
      <c r="A18" s="74" t="s">
        <v>165</v>
      </c>
      <c r="B18" s="75"/>
      <c r="C18" s="228" t="s">
        <v>290</v>
      </c>
      <c r="D18" s="229"/>
      <c r="E18" s="229"/>
      <c r="F18" s="119"/>
      <c r="G18" s="230" t="s">
        <v>166</v>
      </c>
      <c r="H18" s="230"/>
      <c r="I18" s="230"/>
    </row>
  </sheetData>
  <mergeCells count="14">
    <mergeCell ref="C16:E16"/>
    <mergeCell ref="G16:I16"/>
    <mergeCell ref="C17:E17"/>
    <mergeCell ref="G17:I17"/>
    <mergeCell ref="C18:E18"/>
    <mergeCell ref="G18:I18"/>
    <mergeCell ref="G1:I1"/>
    <mergeCell ref="A2:I2"/>
    <mergeCell ref="C4:C5"/>
    <mergeCell ref="D4:D5"/>
    <mergeCell ref="E4:E5"/>
    <mergeCell ref="F4:I4"/>
    <mergeCell ref="A4:A5"/>
    <mergeCell ref="B4:B5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7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selection activeCell="A2" sqref="A2:D2"/>
    </sheetView>
  </sheetViews>
  <sheetFormatPr defaultRowHeight="12.75"/>
  <cols>
    <col min="1" max="1" width="44.5703125" style="88" customWidth="1"/>
    <col min="2" max="2" width="16" style="171" customWidth="1"/>
    <col min="3" max="4" width="16" style="88" customWidth="1"/>
    <col min="5" max="244" width="9.140625" style="88"/>
    <col min="245" max="245" width="44.5703125" style="88" customWidth="1"/>
    <col min="246" max="248" width="16" style="88" customWidth="1"/>
    <col min="249" max="249" width="6.5703125" style="88" customWidth="1"/>
    <col min="250" max="250" width="14.85546875" style="88" customWidth="1"/>
    <col min="251" max="16384" width="9.140625" style="88"/>
  </cols>
  <sheetData>
    <row r="1" spans="1:4" ht="15">
      <c r="A1" s="154"/>
      <c r="B1" s="155"/>
      <c r="C1" s="87"/>
      <c r="D1" s="80" t="s">
        <v>301</v>
      </c>
    </row>
    <row r="2" spans="1:4" ht="15.75">
      <c r="A2" s="237" t="s">
        <v>302</v>
      </c>
      <c r="B2" s="237"/>
      <c r="C2" s="237"/>
      <c r="D2" s="237"/>
    </row>
    <row r="3" spans="1:4" ht="15.75">
      <c r="A3" s="156"/>
      <c r="B3" s="157"/>
      <c r="C3" s="156"/>
      <c r="D3" s="156"/>
    </row>
    <row r="4" spans="1:4" ht="45">
      <c r="A4" s="158" t="s">
        <v>28</v>
      </c>
      <c r="B4" s="159" t="s">
        <v>30</v>
      </c>
      <c r="C4" s="138" t="s">
        <v>31</v>
      </c>
      <c r="D4" s="138" t="s">
        <v>32</v>
      </c>
    </row>
    <row r="5" spans="1:4" ht="12.75" customHeight="1">
      <c r="A5" s="160">
        <v>1</v>
      </c>
      <c r="B5" s="125">
        <v>2</v>
      </c>
      <c r="C5" s="38">
        <v>3</v>
      </c>
      <c r="D5" s="38">
        <v>5</v>
      </c>
    </row>
    <row r="6" spans="1:4" ht="60">
      <c r="A6" s="161" t="s">
        <v>303</v>
      </c>
      <c r="B6" s="162">
        <v>83</v>
      </c>
      <c r="C6" s="163">
        <f>C7+C8+C9</f>
        <v>101.5</v>
      </c>
      <c r="D6" s="163">
        <f>D7+D8+D9</f>
        <v>101.5</v>
      </c>
    </row>
    <row r="7" spans="1:4" ht="15">
      <c r="A7" s="164" t="s">
        <v>304</v>
      </c>
      <c r="B7" s="165">
        <v>1</v>
      </c>
      <c r="C7" s="128">
        <v>1</v>
      </c>
      <c r="D7" s="128">
        <v>1</v>
      </c>
    </row>
    <row r="8" spans="1:4" ht="15">
      <c r="A8" s="164" t="s">
        <v>305</v>
      </c>
      <c r="B8" s="165">
        <v>15</v>
      </c>
      <c r="C8" s="129">
        <v>19.5</v>
      </c>
      <c r="D8" s="129">
        <v>19.5</v>
      </c>
    </row>
    <row r="9" spans="1:4" ht="15">
      <c r="A9" s="164" t="s">
        <v>306</v>
      </c>
      <c r="B9" s="165">
        <v>67</v>
      </c>
      <c r="C9" s="128">
        <v>81</v>
      </c>
      <c r="D9" s="128">
        <v>81</v>
      </c>
    </row>
    <row r="10" spans="1:4" ht="14.25">
      <c r="A10" s="161" t="s">
        <v>307</v>
      </c>
      <c r="B10" s="166">
        <v>16843</v>
      </c>
      <c r="C10" s="167">
        <f>C11+C12+C13</f>
        <v>19618</v>
      </c>
      <c r="D10" s="167">
        <f>D11+D12+D13</f>
        <v>19618</v>
      </c>
    </row>
    <row r="11" spans="1:4" ht="15">
      <c r="A11" s="164" t="s">
        <v>304</v>
      </c>
      <c r="B11" s="168">
        <v>760</v>
      </c>
      <c r="C11" s="128">
        <v>484</v>
      </c>
      <c r="D11" s="128">
        <v>484</v>
      </c>
    </row>
    <row r="12" spans="1:4" ht="15">
      <c r="A12" s="164" t="s">
        <v>305</v>
      </c>
      <c r="B12" s="168">
        <v>3774</v>
      </c>
      <c r="C12" s="128">
        <f>5179-C11</f>
        <v>4695</v>
      </c>
      <c r="D12" s="128">
        <f>5179-D11</f>
        <v>4695</v>
      </c>
    </row>
    <row r="13" spans="1:4" ht="15">
      <c r="A13" s="164" t="s">
        <v>306</v>
      </c>
      <c r="B13" s="168">
        <v>12309</v>
      </c>
      <c r="C13" s="128">
        <f>19618-C12-C11</f>
        <v>14439</v>
      </c>
      <c r="D13" s="128">
        <f>19618-D12-D11</f>
        <v>14439</v>
      </c>
    </row>
    <row r="14" spans="1:4" ht="28.5">
      <c r="A14" s="161" t="s">
        <v>308</v>
      </c>
      <c r="B14" s="166">
        <v>16910.642570281121</v>
      </c>
      <c r="C14" s="167">
        <f t="shared" ref="C14:D17" si="0">C10/C6/12*1000</f>
        <v>16106.73234811166</v>
      </c>
      <c r="D14" s="167">
        <f t="shared" si="0"/>
        <v>16106.73234811166</v>
      </c>
    </row>
    <row r="15" spans="1:4" ht="15">
      <c r="A15" s="164" t="s">
        <v>304</v>
      </c>
      <c r="B15" s="128">
        <v>63333.333333333336</v>
      </c>
      <c r="C15" s="128">
        <f t="shared" si="0"/>
        <v>40333.333333333336</v>
      </c>
      <c r="D15" s="128">
        <f t="shared" si="0"/>
        <v>40333.333333333336</v>
      </c>
    </row>
    <row r="16" spans="1:4" ht="15">
      <c r="A16" s="164" t="s">
        <v>305</v>
      </c>
      <c r="B16" s="128">
        <v>20966.666666666664</v>
      </c>
      <c r="C16" s="128">
        <f t="shared" si="0"/>
        <v>20064.102564102566</v>
      </c>
      <c r="D16" s="128">
        <f t="shared" si="0"/>
        <v>20064.102564102566</v>
      </c>
    </row>
    <row r="17" spans="1:4" ht="15">
      <c r="A17" s="164" t="s">
        <v>306</v>
      </c>
      <c r="B17" s="128">
        <v>15309.701492537315</v>
      </c>
      <c r="C17" s="128">
        <f t="shared" si="0"/>
        <v>14854.938271604939</v>
      </c>
      <c r="D17" s="128">
        <f t="shared" si="0"/>
        <v>14854.938271604939</v>
      </c>
    </row>
    <row r="18" spans="1:4" ht="28.5">
      <c r="A18" s="161" t="s">
        <v>309</v>
      </c>
      <c r="B18" s="166">
        <v>20404</v>
      </c>
      <c r="C18" s="167">
        <f>C19+C20+C21</f>
        <v>23933</v>
      </c>
      <c r="D18" s="167">
        <f>D19+D20+D21</f>
        <v>23933</v>
      </c>
    </row>
    <row r="19" spans="1:4" ht="15">
      <c r="A19" s="164" t="s">
        <v>304</v>
      </c>
      <c r="B19" s="168">
        <v>926</v>
      </c>
      <c r="C19" s="128">
        <v>590</v>
      </c>
      <c r="D19" s="128">
        <v>590</v>
      </c>
    </row>
    <row r="20" spans="1:4" ht="15">
      <c r="A20" s="164" t="s">
        <v>305</v>
      </c>
      <c r="B20" s="168">
        <v>4609</v>
      </c>
      <c r="C20" s="128">
        <f>6318-C19</f>
        <v>5728</v>
      </c>
      <c r="D20" s="128">
        <f>6318-D19</f>
        <v>5728</v>
      </c>
    </row>
    <row r="21" spans="1:4" ht="15">
      <c r="A21" s="164" t="s">
        <v>306</v>
      </c>
      <c r="B21" s="168">
        <v>14869</v>
      </c>
      <c r="C21" s="128">
        <f>23933-C20-C19</f>
        <v>17615</v>
      </c>
      <c r="D21" s="128">
        <f>23933-D20-D19</f>
        <v>17615</v>
      </c>
    </row>
    <row r="22" spans="1:4" ht="42.75">
      <c r="A22" s="161" t="s">
        <v>310</v>
      </c>
      <c r="B22" s="166">
        <v>20485.943775100401</v>
      </c>
      <c r="C22" s="166">
        <f t="shared" ref="C22:D25" si="1">C18/C6/12*1000</f>
        <v>19649.425287356324</v>
      </c>
      <c r="D22" s="166">
        <f t="shared" si="1"/>
        <v>19649.425287356324</v>
      </c>
    </row>
    <row r="23" spans="1:4" ht="15">
      <c r="A23" s="164" t="s">
        <v>304</v>
      </c>
      <c r="B23" s="168">
        <v>77166.666666666672</v>
      </c>
      <c r="C23" s="168">
        <f t="shared" si="1"/>
        <v>49166.666666666664</v>
      </c>
      <c r="D23" s="168">
        <f t="shared" si="1"/>
        <v>49166.666666666664</v>
      </c>
    </row>
    <row r="24" spans="1:4" ht="15">
      <c r="A24" s="164" t="s">
        <v>305</v>
      </c>
      <c r="B24" s="168">
        <v>25605.555555555555</v>
      </c>
      <c r="C24" s="168">
        <f t="shared" si="1"/>
        <v>24478.632478632477</v>
      </c>
      <c r="D24" s="168">
        <f t="shared" si="1"/>
        <v>24478.632478632477</v>
      </c>
    </row>
    <row r="25" spans="1:4" ht="15">
      <c r="A25" s="164" t="s">
        <v>306</v>
      </c>
      <c r="B25" s="168">
        <v>18493.781094527363</v>
      </c>
      <c r="C25" s="168">
        <f t="shared" si="1"/>
        <v>18122.427983539095</v>
      </c>
      <c r="D25" s="168">
        <f t="shared" si="1"/>
        <v>18122.427983539095</v>
      </c>
    </row>
    <row r="26" spans="1:4" ht="15">
      <c r="A26" s="85"/>
      <c r="B26" s="123"/>
      <c r="C26" s="85"/>
      <c r="D26" s="85"/>
    </row>
    <row r="27" spans="1:4" ht="15">
      <c r="A27" s="85"/>
      <c r="B27" s="123"/>
      <c r="C27" s="85"/>
      <c r="D27" s="85"/>
    </row>
    <row r="28" spans="1:4" ht="15">
      <c r="A28" s="74" t="s">
        <v>162</v>
      </c>
      <c r="B28" s="169" t="s">
        <v>324</v>
      </c>
      <c r="C28" s="254" t="s">
        <v>164</v>
      </c>
      <c r="D28" s="254"/>
    </row>
    <row r="29" spans="1:4" ht="15">
      <c r="A29" s="152"/>
      <c r="B29" s="170"/>
      <c r="C29" s="253"/>
      <c r="D29" s="253"/>
    </row>
    <row r="30" spans="1:4" ht="15">
      <c r="A30" s="74" t="s">
        <v>165</v>
      </c>
      <c r="B30" s="169" t="s">
        <v>311</v>
      </c>
      <c r="C30" s="254" t="s">
        <v>166</v>
      </c>
      <c r="D30" s="254"/>
    </row>
    <row r="31" spans="1:4" ht="15">
      <c r="A31" s="152"/>
      <c r="B31" s="170"/>
      <c r="C31" s="253"/>
      <c r="D31" s="253"/>
    </row>
    <row r="32" spans="1:4">
      <c r="A32" s="87"/>
      <c r="C32" s="87"/>
      <c r="D32" s="87"/>
    </row>
  </sheetData>
  <mergeCells count="5">
    <mergeCell ref="C30:D30"/>
    <mergeCell ref="C31:D31"/>
    <mergeCell ref="A2:D2"/>
    <mergeCell ref="C28:D28"/>
    <mergeCell ref="C29:D29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workbookViewId="0">
      <selection activeCell="G14" sqref="G14"/>
    </sheetView>
  </sheetViews>
  <sheetFormatPr defaultRowHeight="12.75"/>
  <cols>
    <col min="1" max="1" width="37.7109375" style="88" customWidth="1"/>
    <col min="2" max="2" width="6.7109375" style="88" customWidth="1"/>
    <col min="3" max="5" width="10.7109375" style="88" customWidth="1"/>
    <col min="6" max="9" width="6.85546875" style="88" customWidth="1"/>
    <col min="10" max="16384" width="9.140625" style="88"/>
  </cols>
  <sheetData>
    <row r="1" spans="1:9" s="1" customFormat="1" ht="15.75">
      <c r="A1" s="172"/>
      <c r="B1" s="173"/>
      <c r="C1" s="173"/>
      <c r="D1" s="173"/>
      <c r="E1" s="173"/>
      <c r="F1" s="173"/>
      <c r="G1" s="173"/>
      <c r="H1" s="264" t="s">
        <v>312</v>
      </c>
      <c r="I1" s="264"/>
    </row>
    <row r="2" spans="1:9" s="1" customFormat="1" ht="30.75" customHeight="1">
      <c r="A2" s="265" t="s">
        <v>313</v>
      </c>
      <c r="B2" s="265"/>
      <c r="C2" s="265"/>
      <c r="D2" s="265"/>
      <c r="E2" s="265"/>
      <c r="F2" s="265"/>
      <c r="G2" s="265"/>
      <c r="H2" s="265"/>
      <c r="I2" s="265"/>
    </row>
    <row r="3" spans="1:9" s="1" customFormat="1" ht="15.75">
      <c r="A3" s="30"/>
      <c r="B3" s="31"/>
      <c r="C3" s="30"/>
      <c r="D3" s="30"/>
      <c r="E3" s="31"/>
      <c r="F3" s="30"/>
      <c r="G3" s="30"/>
      <c r="H3" s="30"/>
      <c r="I3" s="30"/>
    </row>
    <row r="4" spans="1:9" s="1" customFormat="1" ht="15.75">
      <c r="A4" s="221" t="s">
        <v>28</v>
      </c>
      <c r="B4" s="222" t="s">
        <v>29</v>
      </c>
      <c r="C4" s="223" t="s">
        <v>30</v>
      </c>
      <c r="D4" s="223" t="s">
        <v>31</v>
      </c>
      <c r="E4" s="225" t="s">
        <v>32</v>
      </c>
      <c r="F4" s="222" t="s">
        <v>33</v>
      </c>
      <c r="G4" s="222"/>
      <c r="H4" s="222"/>
      <c r="I4" s="222"/>
    </row>
    <row r="5" spans="1:9" s="1" customFormat="1" ht="42" customHeight="1">
      <c r="A5" s="221"/>
      <c r="B5" s="222"/>
      <c r="C5" s="224"/>
      <c r="D5" s="224"/>
      <c r="E5" s="226"/>
      <c r="F5" s="34" t="s">
        <v>34</v>
      </c>
      <c r="G5" s="34" t="s">
        <v>35</v>
      </c>
      <c r="H5" s="34" t="s">
        <v>36</v>
      </c>
      <c r="I5" s="34" t="s">
        <v>37</v>
      </c>
    </row>
    <row r="6" spans="1:9" s="127" customFormat="1" ht="12">
      <c r="A6" s="174">
        <v>1</v>
      </c>
      <c r="B6" s="175">
        <v>2</v>
      </c>
      <c r="C6" s="175">
        <v>3</v>
      </c>
      <c r="D6" s="175">
        <v>4</v>
      </c>
      <c r="E6" s="175">
        <v>5</v>
      </c>
      <c r="F6" s="175">
        <v>6</v>
      </c>
      <c r="G6" s="175">
        <v>7</v>
      </c>
      <c r="H6" s="175">
        <v>8</v>
      </c>
      <c r="I6" s="175">
        <v>9</v>
      </c>
    </row>
    <row r="7" spans="1:9" s="1" customFormat="1" ht="15.75">
      <c r="A7" s="255" t="s">
        <v>314</v>
      </c>
      <c r="B7" s="256"/>
      <c r="C7" s="256"/>
      <c r="D7" s="256"/>
      <c r="E7" s="256"/>
      <c r="F7" s="256"/>
      <c r="G7" s="256"/>
      <c r="H7" s="256"/>
      <c r="I7" s="257"/>
    </row>
    <row r="8" spans="1:9" ht="30">
      <c r="A8" s="176" t="s">
        <v>315</v>
      </c>
      <c r="B8" s="177">
        <v>6000</v>
      </c>
      <c r="C8" s="98">
        <v>237</v>
      </c>
      <c r="D8" s="98">
        <v>488</v>
      </c>
      <c r="E8" s="98">
        <v>488.33</v>
      </c>
      <c r="F8" s="98"/>
      <c r="G8" s="98">
        <f>D8</f>
        <v>488</v>
      </c>
      <c r="H8" s="98"/>
      <c r="I8" s="178"/>
    </row>
    <row r="9" spans="1:9" ht="14.25">
      <c r="A9" s="258" t="s">
        <v>316</v>
      </c>
      <c r="B9" s="259"/>
      <c r="C9" s="259"/>
      <c r="D9" s="259"/>
      <c r="E9" s="259"/>
      <c r="F9" s="259"/>
      <c r="G9" s="259"/>
      <c r="H9" s="259"/>
      <c r="I9" s="260"/>
    </row>
    <row r="10" spans="1:9" ht="30">
      <c r="A10" s="179" t="s">
        <v>317</v>
      </c>
      <c r="B10" s="177">
        <v>6010</v>
      </c>
      <c r="C10" s="180"/>
      <c r="D10" s="180"/>
      <c r="E10" s="98"/>
      <c r="F10" s="180"/>
      <c r="G10" s="180"/>
      <c r="H10" s="180"/>
      <c r="I10" s="180"/>
    </row>
    <row r="11" spans="1:9" ht="30">
      <c r="A11" s="176" t="s">
        <v>318</v>
      </c>
      <c r="B11" s="181">
        <v>6020</v>
      </c>
      <c r="C11" s="180">
        <v>237</v>
      </c>
      <c r="D11" s="98">
        <v>488.33</v>
      </c>
      <c r="E11" s="98">
        <v>488.33</v>
      </c>
      <c r="F11" s="180"/>
      <c r="G11" s="180">
        <f>D11</f>
        <v>488.33</v>
      </c>
      <c r="H11" s="180"/>
      <c r="I11" s="180"/>
    </row>
    <row r="12" spans="1:9" ht="30">
      <c r="A12" s="176" t="s">
        <v>319</v>
      </c>
      <c r="B12" s="181" t="s">
        <v>320</v>
      </c>
      <c r="C12" s="180">
        <v>237</v>
      </c>
      <c r="D12" s="98">
        <v>488.33</v>
      </c>
      <c r="E12" s="98">
        <v>488.33</v>
      </c>
      <c r="F12" s="180"/>
      <c r="G12" s="180">
        <f>D12</f>
        <v>488.33</v>
      </c>
      <c r="H12" s="180"/>
      <c r="I12" s="180"/>
    </row>
    <row r="13" spans="1:9" ht="15">
      <c r="A13" s="182"/>
      <c r="B13" s="182"/>
      <c r="C13" s="182"/>
      <c r="D13" s="182"/>
      <c r="E13" s="182"/>
      <c r="F13" s="182"/>
      <c r="G13" s="182"/>
      <c r="H13" s="183"/>
      <c r="I13" s="183"/>
    </row>
    <row r="15" spans="1:9" ht="15">
      <c r="A15" s="74" t="s">
        <v>162</v>
      </c>
      <c r="B15" s="261" t="s">
        <v>290</v>
      </c>
      <c r="C15" s="262"/>
      <c r="D15" s="262"/>
      <c r="E15" s="254" t="s">
        <v>164</v>
      </c>
      <c r="F15" s="254"/>
      <c r="G15" s="263"/>
    </row>
    <row r="16" spans="1:9" ht="15">
      <c r="A16" s="152"/>
      <c r="B16" s="170"/>
      <c r="C16" s="253"/>
      <c r="D16" s="253"/>
    </row>
    <row r="17" spans="1:7" ht="15">
      <c r="A17" s="74" t="s">
        <v>165</v>
      </c>
      <c r="B17" s="261" t="s">
        <v>321</v>
      </c>
      <c r="C17" s="262"/>
      <c r="D17" s="262"/>
      <c r="E17" s="254" t="s">
        <v>166</v>
      </c>
      <c r="F17" s="254"/>
      <c r="G17" s="263"/>
    </row>
  </sheetData>
  <mergeCells count="15">
    <mergeCell ref="H1:I1"/>
    <mergeCell ref="A2:I2"/>
    <mergeCell ref="A4:A5"/>
    <mergeCell ref="B4:B5"/>
    <mergeCell ref="C4:C5"/>
    <mergeCell ref="D4:D5"/>
    <mergeCell ref="E4:E5"/>
    <mergeCell ref="F4:I4"/>
    <mergeCell ref="C16:D16"/>
    <mergeCell ref="A7:I7"/>
    <mergeCell ref="A9:I9"/>
    <mergeCell ref="B15:D15"/>
    <mergeCell ref="E15:G15"/>
    <mergeCell ref="B17:D17"/>
    <mergeCell ref="E17:G17"/>
  </mergeCells>
  <phoneticPr fontId="0" type="noConversion"/>
  <pageMargins left="1.1811023622047245" right="0.39370078740157483" top="0.78740157480314965" bottom="0.78740157480314965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Титульний лист</vt:lpstr>
      <vt:lpstr>І Фін результат</vt:lpstr>
      <vt:lpstr>ІІ Розр з бюджетом</vt:lpstr>
      <vt:lpstr>ІІІ Рух грошових коштів</vt:lpstr>
      <vt:lpstr>ІV Кап інвестиції</vt:lpstr>
      <vt:lpstr>V ОП</vt:lpstr>
      <vt:lpstr>VI Статутний капітал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2026-05-07T12:32:10Z</cp:lastPrinted>
  <dcterms:created xsi:type="dcterms:W3CDTF">2015-06-05T18:19:34Z</dcterms:created>
  <dcterms:modified xsi:type="dcterms:W3CDTF">2026-05-07T12:32:14Z</dcterms:modified>
</cp:coreProperties>
</file>